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30" firstSheet="3" activeTab="3"/>
  </bookViews>
  <sheets>
    <sheet name="Свод (2020-2023)" sheetId="29" state="hidden" r:id="rId1"/>
    <sheet name="2020 йил" sheetId="26" state="hidden" r:id="rId2"/>
    <sheet name="2021 йил" sheetId="13" state="hidden" r:id="rId3"/>
    <sheet name="2023 йил" sheetId="32" r:id="rId4"/>
    <sheet name="Аёллар оборотка" sheetId="40" state="hidden" r:id="rId5"/>
    <sheet name="2023 йил бюджет режа" sheetId="33" state="hidden" r:id="rId6"/>
    <sheet name="1-илова" sheetId="37" state="hidden" r:id="rId7"/>
    <sheet name="2-илова" sheetId="38" state="hidden" r:id="rId8"/>
    <sheet name="2021 йил бюджет режа" sheetId="35" state="hidden" r:id="rId9"/>
    <sheet name="2022 йил бюджет режа" sheetId="34" state="hidden" r:id="rId10"/>
    <sheet name="2020" sheetId="36" state="hidden" r:id="rId11"/>
    <sheet name="2022 йил" sheetId="31" state="hidden" r:id="rId12"/>
    <sheet name="Ёшлар" sheetId="24" state="hidden" r:id="rId13"/>
    <sheet name="Аёллар" sheetId="25" state="hidden" r:id="rId14"/>
    <sheet name="Даромадлари" sheetId="27" state="hidden" r:id="rId15"/>
    <sheet name="Харажатлар" sheetId="28" state="hidden" r:id="rId16"/>
    <sheet name="ПФ-6118" sheetId="30" state="hidden" r:id="rId17"/>
  </sheets>
  <definedNames>
    <definedName name="_xlnm._FilterDatabase" localSheetId="13" hidden="1">Аёллар!$A$10:$AS$101</definedName>
    <definedName name="_xlnm._FilterDatabase" localSheetId="4" hidden="1">'Аёллар оборотка'!$A$9:$M$187</definedName>
    <definedName name="_xlnm._FilterDatabase" localSheetId="12" hidden="1">Ёшлар!$A$10:$AU$101</definedName>
    <definedName name="_xlnm.Print_Area" localSheetId="6">'1-илова'!$A$1:$AB$264</definedName>
    <definedName name="_xlnm.Print_Area" localSheetId="1">'2020 йил'!$A$1:$X$21</definedName>
    <definedName name="_xlnm.Print_Area" localSheetId="2">'2021 йил'!$A$1:$AG$21</definedName>
    <definedName name="_xlnm.Print_Area" localSheetId="11">'2022 йил'!$A$1:$R$21</definedName>
    <definedName name="_xlnm.Print_Area" localSheetId="3">'2023 йил'!$A$1:$AH$21</definedName>
    <definedName name="_xlnm.Print_Area" localSheetId="5">'2023 йил бюджет режа'!$A$1:$L$92</definedName>
    <definedName name="_xlnm.Print_Area" localSheetId="7">'2-илова'!$A$1:$Q$230</definedName>
    <definedName name="_xlnm.Print_Area" localSheetId="14">Даромадлари!$A$1:$J$97</definedName>
    <definedName name="_xlnm.Print_Area" localSheetId="16">'ПФ-6118'!$A$1:$V$21</definedName>
    <definedName name="_xlnm.Print_Area" localSheetId="0">'Свод (2020-2023)'!$A$1:$P$21</definedName>
    <definedName name="_xlnm.Print_Area" localSheetId="15">Харажатлар!$A$1:$L$21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00" i="25" l="1"/>
  <c r="AM94" i="25"/>
  <c r="AM88" i="25"/>
  <c r="AM82" i="25"/>
  <c r="AM76" i="25"/>
  <c r="AM70" i="25"/>
  <c r="AM64" i="25"/>
  <c r="AM58" i="25"/>
  <c r="AM52" i="25"/>
  <c r="AM46" i="25"/>
  <c r="AM40" i="25"/>
  <c r="AM34" i="25"/>
  <c r="AM28" i="25"/>
  <c r="AM22" i="25"/>
  <c r="AM16" i="25"/>
  <c r="AU100" i="24"/>
  <c r="AU94" i="24"/>
  <c r="AU88" i="24"/>
  <c r="AU82" i="24"/>
  <c r="AU76" i="24"/>
  <c r="AU70" i="24"/>
  <c r="AU64" i="24"/>
  <c r="AU58" i="24"/>
  <c r="AU52" i="24"/>
  <c r="AU46" i="24"/>
  <c r="AU40" i="24"/>
  <c r="AU34" i="24"/>
  <c r="AU28" i="24"/>
  <c r="AU22" i="24"/>
  <c r="AU16" i="24"/>
  <c r="AD24" i="32" l="1"/>
  <c r="O22" i="38" l="1"/>
  <c r="O21" i="38"/>
  <c r="O20" i="38"/>
  <c r="O19" i="38"/>
  <c r="O18" i="38"/>
  <c r="O17" i="38"/>
  <c r="O16" i="38"/>
  <c r="O15" i="38"/>
  <c r="O14" i="38"/>
  <c r="O13" i="38"/>
  <c r="O12" i="38"/>
  <c r="O11" i="38"/>
  <c r="O10" i="38"/>
  <c r="P22" i="38"/>
  <c r="P21" i="38"/>
  <c r="P20" i="38"/>
  <c r="P19" i="38"/>
  <c r="P18" i="38"/>
  <c r="P17" i="38"/>
  <c r="P16" i="38"/>
  <c r="P15" i="38"/>
  <c r="P14" i="38"/>
  <c r="P13" i="38"/>
  <c r="P12" i="38"/>
  <c r="P11" i="38"/>
  <c r="P10" i="38"/>
  <c r="Z23" i="37"/>
  <c r="Y23" i="37"/>
  <c r="Z22" i="37"/>
  <c r="Y22" i="37"/>
  <c r="Z21" i="37"/>
  <c r="Y21" i="37"/>
  <c r="Z20" i="37"/>
  <c r="Y20" i="37"/>
  <c r="Z19" i="37"/>
  <c r="Y19" i="37"/>
  <c r="Z18" i="37"/>
  <c r="Y18" i="37"/>
  <c r="Z17" i="37"/>
  <c r="Y17" i="37"/>
  <c r="Z16" i="37"/>
  <c r="Y16" i="37"/>
  <c r="Z15" i="37"/>
  <c r="Y15" i="37"/>
  <c r="Z14" i="37"/>
  <c r="Y14" i="37"/>
  <c r="Z13" i="37"/>
  <c r="Y13" i="37"/>
  <c r="Z12" i="37"/>
  <c r="Y12" i="37"/>
  <c r="Z11" i="37"/>
  <c r="Y11" i="37"/>
  <c r="T23" i="37"/>
  <c r="S23" i="37"/>
  <c r="T22" i="37"/>
  <c r="S22" i="37"/>
  <c r="T21" i="37"/>
  <c r="S21" i="37"/>
  <c r="T20" i="37"/>
  <c r="S20" i="37"/>
  <c r="T19" i="37"/>
  <c r="S19" i="37"/>
  <c r="T18" i="37"/>
  <c r="S18" i="37"/>
  <c r="T17" i="37"/>
  <c r="S17" i="37"/>
  <c r="T16" i="37"/>
  <c r="S16" i="37"/>
  <c r="T15" i="37"/>
  <c r="S15" i="37"/>
  <c r="T14" i="37"/>
  <c r="S14" i="37"/>
  <c r="T13" i="37"/>
  <c r="S13" i="37"/>
  <c r="T12" i="37"/>
  <c r="S12" i="37"/>
  <c r="T11" i="37"/>
  <c r="S11" i="37"/>
  <c r="S10" i="37"/>
  <c r="T10" i="37"/>
  <c r="N23" i="37"/>
  <c r="M23" i="37"/>
  <c r="N22" i="37"/>
  <c r="M22" i="37"/>
  <c r="N21" i="37"/>
  <c r="M21" i="37"/>
  <c r="N20" i="37"/>
  <c r="M20" i="37"/>
  <c r="N19" i="37"/>
  <c r="M19" i="37"/>
  <c r="N18" i="37"/>
  <c r="M18" i="37"/>
  <c r="N17" i="37"/>
  <c r="M17" i="37"/>
  <c r="N16" i="37"/>
  <c r="M16" i="37"/>
  <c r="N15" i="37"/>
  <c r="M15" i="37"/>
  <c r="N14" i="37"/>
  <c r="M14" i="37"/>
  <c r="N13" i="37"/>
  <c r="M13" i="37"/>
  <c r="N12" i="37"/>
  <c r="M12" i="37"/>
  <c r="N11" i="37"/>
  <c r="M11" i="37"/>
  <c r="Z10" i="37"/>
  <c r="Y10" i="37"/>
  <c r="N10" i="37"/>
  <c r="M10" i="37"/>
  <c r="AF7" i="32"/>
  <c r="AE7" i="32"/>
  <c r="Q203" i="38" l="1"/>
  <c r="L203" i="38"/>
  <c r="F203" i="38"/>
  <c r="E203" i="38"/>
  <c r="G203" i="38" s="1"/>
  <c r="D203" i="38"/>
  <c r="C203" i="38"/>
  <c r="M202" i="38"/>
  <c r="C202" i="38" s="1"/>
  <c r="L202" i="38"/>
  <c r="F202" i="38"/>
  <c r="E202" i="38"/>
  <c r="D202" i="38"/>
  <c r="M201" i="38"/>
  <c r="C201" i="38" s="1"/>
  <c r="L201" i="38"/>
  <c r="F201" i="38"/>
  <c r="E201" i="38"/>
  <c r="D201" i="38"/>
  <c r="L200" i="38"/>
  <c r="F200" i="38"/>
  <c r="E200" i="38"/>
  <c r="D200" i="38"/>
  <c r="Q199" i="38"/>
  <c r="L199" i="38"/>
  <c r="F199" i="38"/>
  <c r="E199" i="38"/>
  <c r="G199" i="38" s="1"/>
  <c r="D199" i="38"/>
  <c r="C199" i="38"/>
  <c r="L198" i="38"/>
  <c r="F198" i="38"/>
  <c r="E198" i="38"/>
  <c r="D198" i="38"/>
  <c r="M197" i="38"/>
  <c r="C197" i="38" s="1"/>
  <c r="L197" i="38"/>
  <c r="F197" i="38"/>
  <c r="E197" i="38"/>
  <c r="D197" i="38"/>
  <c r="L196" i="38"/>
  <c r="F196" i="38"/>
  <c r="E196" i="38"/>
  <c r="D196" i="38"/>
  <c r="L195" i="38"/>
  <c r="F195" i="38"/>
  <c r="E195" i="38"/>
  <c r="D195" i="38"/>
  <c r="L194" i="38"/>
  <c r="F194" i="38"/>
  <c r="E194" i="38"/>
  <c r="D194" i="38"/>
  <c r="L193" i="38"/>
  <c r="F193" i="38"/>
  <c r="E193" i="38"/>
  <c r="D193" i="38"/>
  <c r="L192" i="38"/>
  <c r="F192" i="38"/>
  <c r="E192" i="38"/>
  <c r="D192" i="38"/>
  <c r="L191" i="38"/>
  <c r="F191" i="38"/>
  <c r="E191" i="38"/>
  <c r="D191" i="38"/>
  <c r="P190" i="38"/>
  <c r="O190" i="38"/>
  <c r="N190" i="38"/>
  <c r="K190" i="38"/>
  <c r="J190" i="38"/>
  <c r="I190" i="38"/>
  <c r="H190" i="38"/>
  <c r="AB216" i="37"/>
  <c r="AA216" i="37"/>
  <c r="V216" i="37"/>
  <c r="U216" i="37"/>
  <c r="P216" i="37"/>
  <c r="O216" i="37"/>
  <c r="F216" i="37"/>
  <c r="E216" i="37"/>
  <c r="D216" i="37"/>
  <c r="C216" i="37"/>
  <c r="AB215" i="37"/>
  <c r="AA215" i="37"/>
  <c r="V215" i="37"/>
  <c r="U215" i="37"/>
  <c r="P215" i="37"/>
  <c r="O215" i="37"/>
  <c r="F215" i="37"/>
  <c r="E215" i="37"/>
  <c r="D215" i="37"/>
  <c r="C215" i="37"/>
  <c r="AB214" i="37"/>
  <c r="AA214" i="37"/>
  <c r="V214" i="37"/>
  <c r="U214" i="37"/>
  <c r="P214" i="37"/>
  <c r="O214" i="37"/>
  <c r="F214" i="37"/>
  <c r="E214" i="37"/>
  <c r="D214" i="37"/>
  <c r="C214" i="37"/>
  <c r="AB213" i="37"/>
  <c r="AA213" i="37"/>
  <c r="V213" i="37"/>
  <c r="U213" i="37"/>
  <c r="P213" i="37"/>
  <c r="O213" i="37"/>
  <c r="F213" i="37"/>
  <c r="E213" i="37"/>
  <c r="D213" i="37"/>
  <c r="C213" i="37"/>
  <c r="AB212" i="37"/>
  <c r="AA212" i="37"/>
  <c r="V212" i="37"/>
  <c r="U212" i="37"/>
  <c r="P212" i="37"/>
  <c r="O212" i="37"/>
  <c r="F212" i="37"/>
  <c r="E212" i="37"/>
  <c r="D212" i="37"/>
  <c r="C212" i="37"/>
  <c r="AB211" i="37"/>
  <c r="AA211" i="37"/>
  <c r="V211" i="37"/>
  <c r="U211" i="37"/>
  <c r="P211" i="37"/>
  <c r="O211" i="37"/>
  <c r="F211" i="37"/>
  <c r="E211" i="37"/>
  <c r="D211" i="37"/>
  <c r="C211" i="37"/>
  <c r="AB210" i="37"/>
  <c r="AA210" i="37"/>
  <c r="V210" i="37"/>
  <c r="U210" i="37"/>
  <c r="P210" i="37"/>
  <c r="O210" i="37"/>
  <c r="F210" i="37"/>
  <c r="E210" i="37"/>
  <c r="D210" i="37"/>
  <c r="C210" i="37"/>
  <c r="AB209" i="37"/>
  <c r="AA209" i="37"/>
  <c r="V209" i="37"/>
  <c r="U209" i="37"/>
  <c r="P209" i="37"/>
  <c r="O209" i="37"/>
  <c r="F209" i="37"/>
  <c r="E209" i="37"/>
  <c r="D209" i="37"/>
  <c r="C209" i="37"/>
  <c r="AB208" i="37"/>
  <c r="AA208" i="37"/>
  <c r="V208" i="37"/>
  <c r="U208" i="37"/>
  <c r="P208" i="37"/>
  <c r="O208" i="37"/>
  <c r="F208" i="37"/>
  <c r="E208" i="37"/>
  <c r="D208" i="37"/>
  <c r="C208" i="37"/>
  <c r="AB207" i="37"/>
  <c r="AA207" i="37"/>
  <c r="V207" i="37"/>
  <c r="U207" i="37"/>
  <c r="P207" i="37"/>
  <c r="O207" i="37"/>
  <c r="F207" i="37"/>
  <c r="H207" i="37" s="1"/>
  <c r="E207" i="37"/>
  <c r="D207" i="37"/>
  <c r="C207" i="37"/>
  <c r="AB206" i="37"/>
  <c r="AA206" i="37"/>
  <c r="V206" i="37"/>
  <c r="U206" i="37"/>
  <c r="P206" i="37"/>
  <c r="O206" i="37"/>
  <c r="F206" i="37"/>
  <c r="E206" i="37"/>
  <c r="D206" i="37"/>
  <c r="C206" i="37"/>
  <c r="AB205" i="37"/>
  <c r="AA205" i="37"/>
  <c r="V205" i="37"/>
  <c r="U205" i="37"/>
  <c r="P205" i="37"/>
  <c r="O205" i="37"/>
  <c r="F205" i="37"/>
  <c r="H205" i="37" s="1"/>
  <c r="E205" i="37"/>
  <c r="D205" i="37"/>
  <c r="C205" i="37"/>
  <c r="AB204" i="37"/>
  <c r="AB202" i="37" s="1"/>
  <c r="AA204" i="37"/>
  <c r="AA202" i="37" s="1"/>
  <c r="V204" i="37"/>
  <c r="U204" i="37"/>
  <c r="P204" i="37"/>
  <c r="P202" i="37" s="1"/>
  <c r="O204" i="37"/>
  <c r="O202" i="37" s="1"/>
  <c r="F204" i="37"/>
  <c r="E204" i="37"/>
  <c r="D204" i="37"/>
  <c r="D202" i="37" s="1"/>
  <c r="C204" i="37"/>
  <c r="C202" i="37" s="1"/>
  <c r="Z202" i="37"/>
  <c r="Y202" i="37"/>
  <c r="X202" i="37"/>
  <c r="W202" i="37"/>
  <c r="T202" i="37"/>
  <c r="S202" i="37"/>
  <c r="R202" i="37"/>
  <c r="Q202" i="37"/>
  <c r="N202" i="37"/>
  <c r="M202" i="37"/>
  <c r="L202" i="37"/>
  <c r="K202" i="37"/>
  <c r="J202" i="37"/>
  <c r="I202" i="37"/>
  <c r="D190" i="38" l="1"/>
  <c r="L190" i="38"/>
  <c r="H204" i="37"/>
  <c r="H202" i="37" s="1"/>
  <c r="V202" i="37"/>
  <c r="H212" i="37"/>
  <c r="H214" i="37"/>
  <c r="H209" i="37"/>
  <c r="H211" i="37"/>
  <c r="H213" i="37"/>
  <c r="H215" i="37"/>
  <c r="Q202" i="38"/>
  <c r="F202" i="37"/>
  <c r="E202" i="37"/>
  <c r="U202" i="37"/>
  <c r="G205" i="37"/>
  <c r="G207" i="37"/>
  <c r="G209" i="37"/>
  <c r="G211" i="37"/>
  <c r="G213" i="37"/>
  <c r="G215" i="37"/>
  <c r="H206" i="37"/>
  <c r="H208" i="37"/>
  <c r="H210" i="37"/>
  <c r="H216" i="37"/>
  <c r="Q201" i="38"/>
  <c r="F190" i="38"/>
  <c r="G197" i="38"/>
  <c r="G202" i="38"/>
  <c r="G201" i="38"/>
  <c r="E190" i="38"/>
  <c r="Q197" i="38"/>
  <c r="G206" i="37"/>
  <c r="G208" i="37"/>
  <c r="G210" i="37"/>
  <c r="G212" i="37"/>
  <c r="G214" i="37"/>
  <c r="G216" i="37"/>
  <c r="G204" i="37"/>
  <c r="G202" i="37" l="1"/>
  <c r="J23" i="37"/>
  <c r="J22" i="37"/>
  <c r="J21" i="37"/>
  <c r="J20" i="37"/>
  <c r="J19" i="37"/>
  <c r="J18" i="37"/>
  <c r="J17" i="37"/>
  <c r="J16" i="37"/>
  <c r="J15" i="37"/>
  <c r="J14" i="37"/>
  <c r="J13" i="37"/>
  <c r="J12" i="37"/>
  <c r="J11" i="37"/>
  <c r="J10" i="37"/>
  <c r="K22" i="38"/>
  <c r="J22" i="38"/>
  <c r="K21" i="38"/>
  <c r="J21" i="38"/>
  <c r="K20" i="38"/>
  <c r="J20" i="38"/>
  <c r="K19" i="38"/>
  <c r="J19" i="38"/>
  <c r="K18" i="38"/>
  <c r="J18" i="38"/>
  <c r="K17" i="38"/>
  <c r="J17" i="38"/>
  <c r="K16" i="38"/>
  <c r="J16" i="38"/>
  <c r="K15" i="38"/>
  <c r="J15" i="38"/>
  <c r="K14" i="38"/>
  <c r="J14" i="38"/>
  <c r="K13" i="38"/>
  <c r="J13" i="38"/>
  <c r="K12" i="38"/>
  <c r="J12" i="38"/>
  <c r="K11" i="38"/>
  <c r="J11" i="38"/>
  <c r="K10" i="38"/>
  <c r="J10" i="38"/>
  <c r="Q142" i="38"/>
  <c r="L142" i="38"/>
  <c r="F142" i="38"/>
  <c r="E142" i="38"/>
  <c r="D142" i="38"/>
  <c r="C142" i="38"/>
  <c r="L141" i="38"/>
  <c r="F141" i="38"/>
  <c r="E141" i="38"/>
  <c r="D141" i="38"/>
  <c r="L140" i="38"/>
  <c r="F140" i="38"/>
  <c r="E140" i="38"/>
  <c r="D140" i="38"/>
  <c r="L139" i="38"/>
  <c r="F139" i="38"/>
  <c r="E139" i="38"/>
  <c r="D139" i="38"/>
  <c r="Q138" i="38"/>
  <c r="L138" i="38"/>
  <c r="F138" i="38"/>
  <c r="E138" i="38"/>
  <c r="D138" i="38"/>
  <c r="C138" i="38"/>
  <c r="L137" i="38"/>
  <c r="F137" i="38"/>
  <c r="E137" i="38"/>
  <c r="D137" i="38"/>
  <c r="L136" i="38"/>
  <c r="F136" i="38"/>
  <c r="E136" i="38"/>
  <c r="D136" i="38"/>
  <c r="L135" i="38"/>
  <c r="F135" i="38"/>
  <c r="E135" i="38"/>
  <c r="D135" i="38"/>
  <c r="L134" i="38"/>
  <c r="F134" i="38"/>
  <c r="E134" i="38"/>
  <c r="D134" i="38"/>
  <c r="L133" i="38"/>
  <c r="F133" i="38"/>
  <c r="E133" i="38"/>
  <c r="D133" i="38"/>
  <c r="L132" i="38"/>
  <c r="F132" i="38"/>
  <c r="E132" i="38"/>
  <c r="D132" i="38"/>
  <c r="L131" i="38"/>
  <c r="F131" i="38"/>
  <c r="E131" i="38"/>
  <c r="D131" i="38"/>
  <c r="L130" i="38"/>
  <c r="F130" i="38"/>
  <c r="E130" i="38"/>
  <c r="D130" i="38"/>
  <c r="Q122" i="38"/>
  <c r="L122" i="38"/>
  <c r="F122" i="38"/>
  <c r="E122" i="38"/>
  <c r="D122" i="38"/>
  <c r="C122" i="38"/>
  <c r="L121" i="38"/>
  <c r="F121" i="38"/>
  <c r="E121" i="38"/>
  <c r="D121" i="38"/>
  <c r="L120" i="38"/>
  <c r="F120" i="38"/>
  <c r="E120" i="38"/>
  <c r="D120" i="38"/>
  <c r="L119" i="38"/>
  <c r="F119" i="38"/>
  <c r="E119" i="38"/>
  <c r="D119" i="38"/>
  <c r="Q118" i="38"/>
  <c r="L118" i="38"/>
  <c r="F118" i="38"/>
  <c r="E118" i="38"/>
  <c r="D118" i="38"/>
  <c r="C118" i="38"/>
  <c r="L117" i="38"/>
  <c r="F117" i="38"/>
  <c r="E117" i="38"/>
  <c r="D117" i="38"/>
  <c r="L116" i="38"/>
  <c r="F116" i="38"/>
  <c r="E116" i="38"/>
  <c r="D116" i="38"/>
  <c r="L115" i="38"/>
  <c r="F115" i="38"/>
  <c r="E115" i="38"/>
  <c r="D115" i="38"/>
  <c r="L114" i="38"/>
  <c r="F114" i="38"/>
  <c r="E114" i="38"/>
  <c r="D114" i="38"/>
  <c r="L113" i="38"/>
  <c r="F113" i="38"/>
  <c r="E113" i="38"/>
  <c r="D113" i="38"/>
  <c r="L112" i="38"/>
  <c r="F112" i="38"/>
  <c r="E112" i="38"/>
  <c r="D112" i="38"/>
  <c r="L111" i="38"/>
  <c r="F111" i="38"/>
  <c r="E111" i="38"/>
  <c r="D111" i="38"/>
  <c r="L110" i="38"/>
  <c r="F110" i="38"/>
  <c r="E110" i="38"/>
  <c r="D110" i="38"/>
  <c r="Q182" i="38"/>
  <c r="L182" i="38"/>
  <c r="F182" i="38"/>
  <c r="E182" i="38"/>
  <c r="D182" i="38"/>
  <c r="C182" i="38"/>
  <c r="M181" i="38"/>
  <c r="L181" i="38"/>
  <c r="F181" i="38"/>
  <c r="E181" i="38"/>
  <c r="D181" i="38"/>
  <c r="L180" i="38"/>
  <c r="F180" i="38"/>
  <c r="E180" i="38"/>
  <c r="D180" i="38"/>
  <c r="L179" i="38"/>
  <c r="F179" i="38"/>
  <c r="E179" i="38"/>
  <c r="D179" i="38"/>
  <c r="Q178" i="38"/>
  <c r="L178" i="38"/>
  <c r="F178" i="38"/>
  <c r="E178" i="38"/>
  <c r="G178" i="38" s="1"/>
  <c r="D178" i="38"/>
  <c r="C178" i="38"/>
  <c r="M177" i="38"/>
  <c r="L177" i="38"/>
  <c r="F177" i="38"/>
  <c r="E177" i="38"/>
  <c r="D177" i="38"/>
  <c r="L176" i="38"/>
  <c r="F176" i="38"/>
  <c r="E176" i="38"/>
  <c r="D176" i="38"/>
  <c r="L175" i="38"/>
  <c r="F175" i="38"/>
  <c r="E175" i="38"/>
  <c r="D175" i="38"/>
  <c r="L174" i="38"/>
  <c r="F174" i="38"/>
  <c r="E174" i="38"/>
  <c r="D174" i="38"/>
  <c r="L173" i="38"/>
  <c r="F173" i="38"/>
  <c r="E173" i="38"/>
  <c r="D173" i="38"/>
  <c r="L172" i="38"/>
  <c r="F172" i="38"/>
  <c r="E172" i="38"/>
  <c r="D172" i="38"/>
  <c r="L171" i="38"/>
  <c r="F171" i="38"/>
  <c r="E171" i="38"/>
  <c r="D171" i="38"/>
  <c r="L170" i="38"/>
  <c r="F170" i="38"/>
  <c r="E170" i="38"/>
  <c r="D170" i="38"/>
  <c r="P169" i="38"/>
  <c r="O169" i="38"/>
  <c r="N169" i="38"/>
  <c r="K169" i="38"/>
  <c r="J169" i="38"/>
  <c r="I169" i="38"/>
  <c r="H169" i="38"/>
  <c r="Q162" i="38"/>
  <c r="L162" i="38"/>
  <c r="F162" i="38"/>
  <c r="E162" i="38"/>
  <c r="D162" i="38"/>
  <c r="C162" i="38"/>
  <c r="M161" i="38"/>
  <c r="C161" i="38" s="1"/>
  <c r="L161" i="38"/>
  <c r="F161" i="38"/>
  <c r="E161" i="38"/>
  <c r="D161" i="38"/>
  <c r="L160" i="38"/>
  <c r="F160" i="38"/>
  <c r="E160" i="38"/>
  <c r="D160" i="38"/>
  <c r="L159" i="38"/>
  <c r="F159" i="38"/>
  <c r="E159" i="38"/>
  <c r="D159" i="38"/>
  <c r="Q158" i="38"/>
  <c r="L158" i="38"/>
  <c r="F158" i="38"/>
  <c r="E158" i="38"/>
  <c r="D158" i="38"/>
  <c r="C158" i="38"/>
  <c r="M157" i="38"/>
  <c r="C157" i="38" s="1"/>
  <c r="L157" i="38"/>
  <c r="F157" i="38"/>
  <c r="E157" i="38"/>
  <c r="D157" i="38"/>
  <c r="L156" i="38"/>
  <c r="F156" i="38"/>
  <c r="E156" i="38"/>
  <c r="D156" i="38"/>
  <c r="L155" i="38"/>
  <c r="F155" i="38"/>
  <c r="E155" i="38"/>
  <c r="D155" i="38"/>
  <c r="L154" i="38"/>
  <c r="F154" i="38"/>
  <c r="E154" i="38"/>
  <c r="D154" i="38"/>
  <c r="L153" i="38"/>
  <c r="F153" i="38"/>
  <c r="E153" i="38"/>
  <c r="D153" i="38"/>
  <c r="L152" i="38"/>
  <c r="F152" i="38"/>
  <c r="E152" i="38"/>
  <c r="D152" i="38"/>
  <c r="L151" i="38"/>
  <c r="F151" i="38"/>
  <c r="E151" i="38"/>
  <c r="D151" i="38"/>
  <c r="L150" i="38"/>
  <c r="F150" i="38"/>
  <c r="E150" i="38"/>
  <c r="D150" i="38"/>
  <c r="P149" i="38"/>
  <c r="O149" i="38"/>
  <c r="N149" i="38"/>
  <c r="K149" i="38"/>
  <c r="J149" i="38"/>
  <c r="I149" i="38"/>
  <c r="H149" i="38"/>
  <c r="P129" i="38"/>
  <c r="O129" i="38"/>
  <c r="N129" i="38"/>
  <c r="K129" i="38"/>
  <c r="J129" i="38"/>
  <c r="I129" i="38"/>
  <c r="H129" i="38"/>
  <c r="AB150" i="37"/>
  <c r="AA150" i="37"/>
  <c r="V150" i="37"/>
  <c r="U150" i="37"/>
  <c r="P150" i="37"/>
  <c r="O150" i="37"/>
  <c r="F150" i="37"/>
  <c r="E150" i="37"/>
  <c r="D150" i="37"/>
  <c r="C150" i="37"/>
  <c r="G150" i="37" s="1"/>
  <c r="AB149" i="37"/>
  <c r="AA149" i="37"/>
  <c r="V149" i="37"/>
  <c r="U149" i="37"/>
  <c r="P149" i="37"/>
  <c r="O149" i="37"/>
  <c r="F149" i="37"/>
  <c r="E149" i="37"/>
  <c r="D149" i="37"/>
  <c r="C149" i="37"/>
  <c r="AB148" i="37"/>
  <c r="AA148" i="37"/>
  <c r="V148" i="37"/>
  <c r="U148" i="37"/>
  <c r="P148" i="37"/>
  <c r="O148" i="37"/>
  <c r="F148" i="37"/>
  <c r="E148" i="37"/>
  <c r="D148" i="37"/>
  <c r="C148" i="37"/>
  <c r="G148" i="37" s="1"/>
  <c r="AB147" i="37"/>
  <c r="AA147" i="37"/>
  <c r="V147" i="37"/>
  <c r="U147" i="37"/>
  <c r="P147" i="37"/>
  <c r="O147" i="37"/>
  <c r="F147" i="37"/>
  <c r="E147" i="37"/>
  <c r="D147" i="37"/>
  <c r="C147" i="37"/>
  <c r="AB146" i="37"/>
  <c r="AA146" i="37"/>
  <c r="V146" i="37"/>
  <c r="U146" i="37"/>
  <c r="P146" i="37"/>
  <c r="O146" i="37"/>
  <c r="F146" i="37"/>
  <c r="E146" i="37"/>
  <c r="D146" i="37"/>
  <c r="C146" i="37"/>
  <c r="G146" i="37" s="1"/>
  <c r="AB145" i="37"/>
  <c r="AA145" i="37"/>
  <c r="V145" i="37"/>
  <c r="U145" i="37"/>
  <c r="P145" i="37"/>
  <c r="O145" i="37"/>
  <c r="F145" i="37"/>
  <c r="E145" i="37"/>
  <c r="D145" i="37"/>
  <c r="C145" i="37"/>
  <c r="AB144" i="37"/>
  <c r="AA144" i="37"/>
  <c r="V144" i="37"/>
  <c r="U144" i="37"/>
  <c r="P144" i="37"/>
  <c r="O144" i="37"/>
  <c r="F144" i="37"/>
  <c r="E144" i="37"/>
  <c r="D144" i="37"/>
  <c r="C144" i="37"/>
  <c r="G144" i="37" s="1"/>
  <c r="AB143" i="37"/>
  <c r="AA143" i="37"/>
  <c r="V143" i="37"/>
  <c r="U143" i="37"/>
  <c r="P143" i="37"/>
  <c r="O143" i="37"/>
  <c r="F143" i="37"/>
  <c r="E143" i="37"/>
  <c r="D143" i="37"/>
  <c r="C143" i="37"/>
  <c r="AB142" i="37"/>
  <c r="AA142" i="37"/>
  <c r="V142" i="37"/>
  <c r="U142" i="37"/>
  <c r="P142" i="37"/>
  <c r="O142" i="37"/>
  <c r="F142" i="37"/>
  <c r="E142" i="37"/>
  <c r="D142" i="37"/>
  <c r="C142" i="37"/>
  <c r="AB141" i="37"/>
  <c r="AA141" i="37"/>
  <c r="V141" i="37"/>
  <c r="U141" i="37"/>
  <c r="P141" i="37"/>
  <c r="O141" i="37"/>
  <c r="F141" i="37"/>
  <c r="E141" i="37"/>
  <c r="D141" i="37"/>
  <c r="C141" i="37"/>
  <c r="AB140" i="37"/>
  <c r="AA140" i="37"/>
  <c r="V140" i="37"/>
  <c r="U140" i="37"/>
  <c r="P140" i="37"/>
  <c r="O140" i="37"/>
  <c r="F140" i="37"/>
  <c r="E140" i="37"/>
  <c r="D140" i="37"/>
  <c r="C140" i="37"/>
  <c r="G140" i="37" s="1"/>
  <c r="AB139" i="37"/>
  <c r="AA139" i="37"/>
  <c r="V139" i="37"/>
  <c r="U139" i="37"/>
  <c r="P139" i="37"/>
  <c r="O139" i="37"/>
  <c r="F139" i="37"/>
  <c r="E139" i="37"/>
  <c r="D139" i="37"/>
  <c r="C139" i="37"/>
  <c r="AB138" i="37"/>
  <c r="AA138" i="37"/>
  <c r="V138" i="37"/>
  <c r="U138" i="37"/>
  <c r="P138" i="37"/>
  <c r="O138" i="37"/>
  <c r="F138" i="37"/>
  <c r="E138" i="37"/>
  <c r="D138" i="37"/>
  <c r="C138" i="37"/>
  <c r="G138" i="37" s="1"/>
  <c r="AB128" i="37"/>
  <c r="AA128" i="37"/>
  <c r="V128" i="37"/>
  <c r="U128" i="37"/>
  <c r="P128" i="37"/>
  <c r="O128" i="37"/>
  <c r="F128" i="37"/>
  <c r="E128" i="37"/>
  <c r="D128" i="37"/>
  <c r="C128" i="37"/>
  <c r="AB127" i="37"/>
  <c r="AA127" i="37"/>
  <c r="V127" i="37"/>
  <c r="U127" i="37"/>
  <c r="P127" i="37"/>
  <c r="O127" i="37"/>
  <c r="F127" i="37"/>
  <c r="E127" i="37"/>
  <c r="D127" i="37"/>
  <c r="H127" i="37" s="1"/>
  <c r="C127" i="37"/>
  <c r="G127" i="37" s="1"/>
  <c r="AB126" i="37"/>
  <c r="AA126" i="37"/>
  <c r="V126" i="37"/>
  <c r="U126" i="37"/>
  <c r="P126" i="37"/>
  <c r="O126" i="37"/>
  <c r="F126" i="37"/>
  <c r="E126" i="37"/>
  <c r="D126" i="37"/>
  <c r="C126" i="37"/>
  <c r="AB125" i="37"/>
  <c r="AA125" i="37"/>
  <c r="V125" i="37"/>
  <c r="U125" i="37"/>
  <c r="P125" i="37"/>
  <c r="O125" i="37"/>
  <c r="F125" i="37"/>
  <c r="E125" i="37"/>
  <c r="D125" i="37"/>
  <c r="C125" i="37"/>
  <c r="G125" i="37" s="1"/>
  <c r="AB124" i="37"/>
  <c r="AA124" i="37"/>
  <c r="V124" i="37"/>
  <c r="U124" i="37"/>
  <c r="P124" i="37"/>
  <c r="O124" i="37"/>
  <c r="F124" i="37"/>
  <c r="E124" i="37"/>
  <c r="D124" i="37"/>
  <c r="C124" i="37"/>
  <c r="AB123" i="37"/>
  <c r="AA123" i="37"/>
  <c r="V123" i="37"/>
  <c r="U123" i="37"/>
  <c r="P123" i="37"/>
  <c r="O123" i="37"/>
  <c r="F123" i="37"/>
  <c r="E123" i="37"/>
  <c r="D123" i="37"/>
  <c r="C123" i="37"/>
  <c r="G123" i="37" s="1"/>
  <c r="AB122" i="37"/>
  <c r="AA122" i="37"/>
  <c r="V122" i="37"/>
  <c r="U122" i="37"/>
  <c r="P122" i="37"/>
  <c r="O122" i="37"/>
  <c r="F122" i="37"/>
  <c r="E122" i="37"/>
  <c r="D122" i="37"/>
  <c r="C122" i="37"/>
  <c r="AB121" i="37"/>
  <c r="AA121" i="37"/>
  <c r="V121" i="37"/>
  <c r="U121" i="37"/>
  <c r="P121" i="37"/>
  <c r="O121" i="37"/>
  <c r="F121" i="37"/>
  <c r="E121" i="37"/>
  <c r="D121" i="37"/>
  <c r="C121" i="37"/>
  <c r="G121" i="37" s="1"/>
  <c r="AB120" i="37"/>
  <c r="AA120" i="37"/>
  <c r="V120" i="37"/>
  <c r="U120" i="37"/>
  <c r="P120" i="37"/>
  <c r="O120" i="37"/>
  <c r="F120" i="37"/>
  <c r="E120" i="37"/>
  <c r="D120" i="37"/>
  <c r="C120" i="37"/>
  <c r="AB119" i="37"/>
  <c r="AA119" i="37"/>
  <c r="V119" i="37"/>
  <c r="U119" i="37"/>
  <c r="P119" i="37"/>
  <c r="O119" i="37"/>
  <c r="F119" i="37"/>
  <c r="E119" i="37"/>
  <c r="D119" i="37"/>
  <c r="C119" i="37"/>
  <c r="G119" i="37" s="1"/>
  <c r="AB118" i="37"/>
  <c r="AA118" i="37"/>
  <c r="V118" i="37"/>
  <c r="U118" i="37"/>
  <c r="P118" i="37"/>
  <c r="O118" i="37"/>
  <c r="F118" i="37"/>
  <c r="E118" i="37"/>
  <c r="D118" i="37"/>
  <c r="C118" i="37"/>
  <c r="AB117" i="37"/>
  <c r="AA117" i="37"/>
  <c r="V117" i="37"/>
  <c r="U117" i="37"/>
  <c r="P117" i="37"/>
  <c r="O117" i="37"/>
  <c r="F117" i="37"/>
  <c r="E117" i="37"/>
  <c r="D117" i="37"/>
  <c r="C117" i="37"/>
  <c r="G117" i="37" s="1"/>
  <c r="AB116" i="37"/>
  <c r="AA116" i="37"/>
  <c r="V116" i="37"/>
  <c r="U116" i="37"/>
  <c r="P116" i="37"/>
  <c r="O116" i="37"/>
  <c r="F116" i="37"/>
  <c r="E116" i="37"/>
  <c r="D116" i="37"/>
  <c r="C116" i="37"/>
  <c r="G142" i="37" l="1"/>
  <c r="G142" i="38"/>
  <c r="C177" i="38"/>
  <c r="M196" i="38"/>
  <c r="G138" i="38"/>
  <c r="C181" i="38"/>
  <c r="M200" i="38"/>
  <c r="G157" i="38"/>
  <c r="H117" i="37"/>
  <c r="H119" i="37"/>
  <c r="H121" i="37"/>
  <c r="H123" i="37"/>
  <c r="H138" i="37"/>
  <c r="H142" i="37"/>
  <c r="H144" i="37"/>
  <c r="H149" i="37"/>
  <c r="H150" i="37"/>
  <c r="D169" i="38"/>
  <c r="G122" i="38"/>
  <c r="H116" i="37"/>
  <c r="H118" i="37"/>
  <c r="H120" i="37"/>
  <c r="H122" i="37"/>
  <c r="H124" i="37"/>
  <c r="H126" i="37"/>
  <c r="H128" i="37"/>
  <c r="H139" i="37"/>
  <c r="H141" i="37"/>
  <c r="H143" i="37"/>
  <c r="H145" i="37"/>
  <c r="H147" i="37"/>
  <c r="G116" i="37"/>
  <c r="G118" i="37"/>
  <c r="G120" i="37"/>
  <c r="G122" i="37"/>
  <c r="G124" i="37"/>
  <c r="G126" i="37"/>
  <c r="G128" i="37"/>
  <c r="G139" i="37"/>
  <c r="G141" i="37"/>
  <c r="G143" i="37"/>
  <c r="G145" i="37"/>
  <c r="G147" i="37"/>
  <c r="G149" i="37"/>
  <c r="H125" i="37"/>
  <c r="H140" i="37"/>
  <c r="H146" i="37"/>
  <c r="H148" i="37"/>
  <c r="L149" i="38"/>
  <c r="D129" i="38"/>
  <c r="G162" i="38"/>
  <c r="M176" i="38"/>
  <c r="D149" i="38"/>
  <c r="G158" i="38"/>
  <c r="L169" i="38"/>
  <c r="G118" i="38"/>
  <c r="G177" i="38"/>
  <c r="L129" i="38"/>
  <c r="Q161" i="38"/>
  <c r="M180" i="38"/>
  <c r="F149" i="38"/>
  <c r="F169" i="38"/>
  <c r="G182" i="38"/>
  <c r="F129" i="38"/>
  <c r="Q181" i="38"/>
  <c r="G181" i="38"/>
  <c r="E169" i="38"/>
  <c r="Q176" i="38"/>
  <c r="Q177" i="38"/>
  <c r="G161" i="38"/>
  <c r="E149" i="38"/>
  <c r="Q157" i="38"/>
  <c r="E129" i="38"/>
  <c r="C176" i="38" l="1"/>
  <c r="G176" i="38" s="1"/>
  <c r="M195" i="38"/>
  <c r="C196" i="38"/>
  <c r="G196" i="38" s="1"/>
  <c r="Q196" i="38"/>
  <c r="C200" i="38"/>
  <c r="G200" i="38" s="1"/>
  <c r="Q200" i="38"/>
  <c r="C180" i="38"/>
  <c r="G180" i="38" s="1"/>
  <c r="Q180" i="38"/>
  <c r="C195" i="38" l="1"/>
  <c r="G195" i="38" s="1"/>
  <c r="Q195" i="38"/>
  <c r="AB194" i="37"/>
  <c r="AA194" i="37"/>
  <c r="V194" i="37"/>
  <c r="U194" i="37"/>
  <c r="P194" i="37"/>
  <c r="O194" i="37"/>
  <c r="F194" i="37"/>
  <c r="E194" i="37"/>
  <c r="D194" i="37"/>
  <c r="C194" i="37"/>
  <c r="AB193" i="37"/>
  <c r="AA193" i="37"/>
  <c r="V193" i="37"/>
  <c r="U193" i="37"/>
  <c r="P193" i="37"/>
  <c r="O193" i="37"/>
  <c r="F193" i="37"/>
  <c r="E193" i="37"/>
  <c r="D193" i="37"/>
  <c r="C193" i="37"/>
  <c r="AB192" i="37"/>
  <c r="AA192" i="37"/>
  <c r="V192" i="37"/>
  <c r="U192" i="37"/>
  <c r="P192" i="37"/>
  <c r="O192" i="37"/>
  <c r="F192" i="37"/>
  <c r="E192" i="37"/>
  <c r="D192" i="37"/>
  <c r="C192" i="37"/>
  <c r="AB191" i="37"/>
  <c r="AA191" i="37"/>
  <c r="V191" i="37"/>
  <c r="U191" i="37"/>
  <c r="P191" i="37"/>
  <c r="O191" i="37"/>
  <c r="F191" i="37"/>
  <c r="E191" i="37"/>
  <c r="D191" i="37"/>
  <c r="C191" i="37"/>
  <c r="AB190" i="37"/>
  <c r="AA190" i="37"/>
  <c r="V190" i="37"/>
  <c r="U190" i="37"/>
  <c r="P190" i="37"/>
  <c r="O190" i="37"/>
  <c r="F190" i="37"/>
  <c r="E190" i="37"/>
  <c r="D190" i="37"/>
  <c r="C190" i="37"/>
  <c r="AB189" i="37"/>
  <c r="AA189" i="37"/>
  <c r="V189" i="37"/>
  <c r="U189" i="37"/>
  <c r="P189" i="37"/>
  <c r="O189" i="37"/>
  <c r="F189" i="37"/>
  <c r="E189" i="37"/>
  <c r="D189" i="37"/>
  <c r="C189" i="37"/>
  <c r="AB188" i="37"/>
  <c r="AA188" i="37"/>
  <c r="V188" i="37"/>
  <c r="U188" i="37"/>
  <c r="P188" i="37"/>
  <c r="O188" i="37"/>
  <c r="F188" i="37"/>
  <c r="E188" i="37"/>
  <c r="D188" i="37"/>
  <c r="C188" i="37"/>
  <c r="AB187" i="37"/>
  <c r="AA187" i="37"/>
  <c r="V187" i="37"/>
  <c r="U187" i="37"/>
  <c r="P187" i="37"/>
  <c r="O187" i="37"/>
  <c r="F187" i="37"/>
  <c r="E187" i="37"/>
  <c r="D187" i="37"/>
  <c r="C187" i="37"/>
  <c r="AB186" i="37"/>
  <c r="AA186" i="37"/>
  <c r="V186" i="37"/>
  <c r="U186" i="37"/>
  <c r="P186" i="37"/>
  <c r="O186" i="37"/>
  <c r="F186" i="37"/>
  <c r="E186" i="37"/>
  <c r="D186" i="37"/>
  <c r="C186" i="37"/>
  <c r="AB185" i="37"/>
  <c r="AA185" i="37"/>
  <c r="V185" i="37"/>
  <c r="U185" i="37"/>
  <c r="P185" i="37"/>
  <c r="O185" i="37"/>
  <c r="F185" i="37"/>
  <c r="E185" i="37"/>
  <c r="D185" i="37"/>
  <c r="C185" i="37"/>
  <c r="AB184" i="37"/>
  <c r="AA184" i="37"/>
  <c r="V184" i="37"/>
  <c r="U184" i="37"/>
  <c r="P184" i="37"/>
  <c r="O184" i="37"/>
  <c r="F184" i="37"/>
  <c r="E184" i="37"/>
  <c r="D184" i="37"/>
  <c r="C184" i="37"/>
  <c r="AB183" i="37"/>
  <c r="AA183" i="37"/>
  <c r="V183" i="37"/>
  <c r="V180" i="37" s="1"/>
  <c r="U183" i="37"/>
  <c r="P183" i="37"/>
  <c r="O183" i="37"/>
  <c r="F183" i="37"/>
  <c r="E183" i="37"/>
  <c r="D183" i="37"/>
  <c r="C183" i="37"/>
  <c r="AB182" i="37"/>
  <c r="AB180" i="37" s="1"/>
  <c r="AA182" i="37"/>
  <c r="AA180" i="37" s="1"/>
  <c r="V182" i="37"/>
  <c r="U182" i="37"/>
  <c r="P182" i="37"/>
  <c r="P180" i="37" s="1"/>
  <c r="O182" i="37"/>
  <c r="O180" i="37" s="1"/>
  <c r="F182" i="37"/>
  <c r="E182" i="37"/>
  <c r="D182" i="37"/>
  <c r="C182" i="37"/>
  <c r="Z180" i="37"/>
  <c r="Y180" i="37"/>
  <c r="X180" i="37"/>
  <c r="W180" i="37"/>
  <c r="T180" i="37"/>
  <c r="S180" i="37"/>
  <c r="R180" i="37"/>
  <c r="Q180" i="37"/>
  <c r="N180" i="37"/>
  <c r="M180" i="37"/>
  <c r="L180" i="37"/>
  <c r="K180" i="37"/>
  <c r="J180" i="37"/>
  <c r="I180" i="37"/>
  <c r="AB172" i="37"/>
  <c r="AA172" i="37"/>
  <c r="V172" i="37"/>
  <c r="U172" i="37"/>
  <c r="P172" i="37"/>
  <c r="O172" i="37"/>
  <c r="F172" i="37"/>
  <c r="E172" i="37"/>
  <c r="D172" i="37"/>
  <c r="C172" i="37"/>
  <c r="AB171" i="37"/>
  <c r="AA171" i="37"/>
  <c r="V171" i="37"/>
  <c r="U171" i="37"/>
  <c r="P171" i="37"/>
  <c r="O171" i="37"/>
  <c r="F171" i="37"/>
  <c r="E171" i="37"/>
  <c r="D171" i="37"/>
  <c r="C171" i="37"/>
  <c r="AB170" i="37"/>
  <c r="AA170" i="37"/>
  <c r="V170" i="37"/>
  <c r="U170" i="37"/>
  <c r="P170" i="37"/>
  <c r="O170" i="37"/>
  <c r="F170" i="37"/>
  <c r="E170" i="37"/>
  <c r="D170" i="37"/>
  <c r="C170" i="37"/>
  <c r="AB169" i="37"/>
  <c r="AA169" i="37"/>
  <c r="V169" i="37"/>
  <c r="U169" i="37"/>
  <c r="P169" i="37"/>
  <c r="O169" i="37"/>
  <c r="F169" i="37"/>
  <c r="E169" i="37"/>
  <c r="D169" i="37"/>
  <c r="C169" i="37"/>
  <c r="AB168" i="37"/>
  <c r="AA168" i="37"/>
  <c r="V168" i="37"/>
  <c r="U168" i="37"/>
  <c r="P168" i="37"/>
  <c r="O168" i="37"/>
  <c r="F168" i="37"/>
  <c r="E168" i="37"/>
  <c r="D168" i="37"/>
  <c r="C168" i="37"/>
  <c r="AB167" i="37"/>
  <c r="AA167" i="37"/>
  <c r="V167" i="37"/>
  <c r="U167" i="37"/>
  <c r="P167" i="37"/>
  <c r="O167" i="37"/>
  <c r="F167" i="37"/>
  <c r="E167" i="37"/>
  <c r="D167" i="37"/>
  <c r="C167" i="37"/>
  <c r="AB166" i="37"/>
  <c r="AA166" i="37"/>
  <c r="V166" i="37"/>
  <c r="U166" i="37"/>
  <c r="P166" i="37"/>
  <c r="O166" i="37"/>
  <c r="F166" i="37"/>
  <c r="E166" i="37"/>
  <c r="D166" i="37"/>
  <c r="C166" i="37"/>
  <c r="AB165" i="37"/>
  <c r="AA165" i="37"/>
  <c r="V165" i="37"/>
  <c r="U165" i="37"/>
  <c r="P165" i="37"/>
  <c r="O165" i="37"/>
  <c r="F165" i="37"/>
  <c r="E165" i="37"/>
  <c r="D165" i="37"/>
  <c r="C165" i="37"/>
  <c r="AB164" i="37"/>
  <c r="AA164" i="37"/>
  <c r="V164" i="37"/>
  <c r="U164" i="37"/>
  <c r="P164" i="37"/>
  <c r="O164" i="37"/>
  <c r="F164" i="37"/>
  <c r="E164" i="37"/>
  <c r="D164" i="37"/>
  <c r="C164" i="37"/>
  <c r="AB163" i="37"/>
  <c r="AA163" i="37"/>
  <c r="V163" i="37"/>
  <c r="U163" i="37"/>
  <c r="P163" i="37"/>
  <c r="O163" i="37"/>
  <c r="F163" i="37"/>
  <c r="E163" i="37"/>
  <c r="D163" i="37"/>
  <c r="C163" i="37"/>
  <c r="AB162" i="37"/>
  <c r="AA162" i="37"/>
  <c r="V162" i="37"/>
  <c r="U162" i="37"/>
  <c r="P162" i="37"/>
  <c r="O162" i="37"/>
  <c r="F162" i="37"/>
  <c r="E162" i="37"/>
  <c r="D162" i="37"/>
  <c r="C162" i="37"/>
  <c r="AB161" i="37"/>
  <c r="AA161" i="37"/>
  <c r="V161" i="37"/>
  <c r="U161" i="37"/>
  <c r="P161" i="37"/>
  <c r="O161" i="37"/>
  <c r="F161" i="37"/>
  <c r="E161" i="37"/>
  <c r="D161" i="37"/>
  <c r="C161" i="37"/>
  <c r="AB160" i="37"/>
  <c r="AB158" i="37" s="1"/>
  <c r="AA160" i="37"/>
  <c r="AA158" i="37" s="1"/>
  <c r="V160" i="37"/>
  <c r="U160" i="37"/>
  <c r="P160" i="37"/>
  <c r="P158" i="37" s="1"/>
  <c r="O160" i="37"/>
  <c r="O158" i="37" s="1"/>
  <c r="F160" i="37"/>
  <c r="E160" i="37"/>
  <c r="D160" i="37"/>
  <c r="C160" i="37"/>
  <c r="Z158" i="37"/>
  <c r="Y158" i="37"/>
  <c r="X158" i="37"/>
  <c r="W158" i="37"/>
  <c r="T158" i="37"/>
  <c r="S158" i="37"/>
  <c r="R158" i="37"/>
  <c r="Q158" i="37"/>
  <c r="N158" i="37"/>
  <c r="M158" i="37"/>
  <c r="L158" i="37"/>
  <c r="K158" i="37"/>
  <c r="J158" i="37"/>
  <c r="I158" i="37"/>
  <c r="U136" i="37"/>
  <c r="H136" i="37"/>
  <c r="AB136" i="37"/>
  <c r="AA136" i="37"/>
  <c r="Z136" i="37"/>
  <c r="Y136" i="37"/>
  <c r="X136" i="37"/>
  <c r="W136" i="37"/>
  <c r="V136" i="37"/>
  <c r="T136" i="37"/>
  <c r="S136" i="37"/>
  <c r="R136" i="37"/>
  <c r="Q136" i="37"/>
  <c r="P136" i="37"/>
  <c r="O136" i="37"/>
  <c r="N136" i="37"/>
  <c r="M136" i="37"/>
  <c r="L136" i="37"/>
  <c r="K136" i="37"/>
  <c r="J136" i="37"/>
  <c r="I136" i="37"/>
  <c r="F136" i="37"/>
  <c r="E136" i="37"/>
  <c r="D136" i="37"/>
  <c r="AD7" i="32"/>
  <c r="AC7" i="32"/>
  <c r="AB7" i="32"/>
  <c r="AA7" i="32"/>
  <c r="Z7" i="32"/>
  <c r="Y7" i="32"/>
  <c r="U158" i="37" l="1"/>
  <c r="V158" i="37"/>
  <c r="U180" i="37"/>
  <c r="G190" i="37"/>
  <c r="G191" i="37"/>
  <c r="G193" i="37"/>
  <c r="H188" i="37"/>
  <c r="E158" i="37"/>
  <c r="H190" i="37"/>
  <c r="H191" i="37"/>
  <c r="H193" i="37"/>
  <c r="H194" i="37"/>
  <c r="D158" i="37"/>
  <c r="G160" i="37"/>
  <c r="G162" i="37"/>
  <c r="G164" i="37"/>
  <c r="G166" i="37"/>
  <c r="G168" i="37"/>
  <c r="G170" i="37"/>
  <c r="G172" i="37"/>
  <c r="G182" i="37"/>
  <c r="E180" i="37"/>
  <c r="G184" i="37"/>
  <c r="G186" i="37"/>
  <c r="G188" i="37"/>
  <c r="D180" i="37"/>
  <c r="H161" i="37"/>
  <c r="H163" i="37"/>
  <c r="H165" i="37"/>
  <c r="H167" i="37"/>
  <c r="H169" i="37"/>
  <c r="H185" i="37"/>
  <c r="H192" i="37"/>
  <c r="G161" i="37"/>
  <c r="G163" i="37"/>
  <c r="G165" i="37"/>
  <c r="G167" i="37"/>
  <c r="G169" i="37"/>
  <c r="G171" i="37"/>
  <c r="H183" i="37"/>
  <c r="C136" i="37"/>
  <c r="F158" i="37"/>
  <c r="H160" i="37"/>
  <c r="H158" i="37" s="1"/>
  <c r="H162" i="37"/>
  <c r="H164" i="37"/>
  <c r="H166" i="37"/>
  <c r="H168" i="37"/>
  <c r="H170" i="37"/>
  <c r="H171" i="37"/>
  <c r="H172" i="37"/>
  <c r="G183" i="37"/>
  <c r="G185" i="37"/>
  <c r="H187" i="37"/>
  <c r="H189" i="37"/>
  <c r="G192" i="37"/>
  <c r="G194" i="37"/>
  <c r="F180" i="37"/>
  <c r="H182" i="37"/>
  <c r="H184" i="37"/>
  <c r="H186" i="37"/>
  <c r="G187" i="37"/>
  <c r="G189" i="37"/>
  <c r="C180" i="37"/>
  <c r="G158" i="37"/>
  <c r="C158" i="37"/>
  <c r="G136" i="37"/>
  <c r="G180" i="37" l="1"/>
  <c r="H180" i="37"/>
  <c r="J21" i="33"/>
  <c r="I21" i="33"/>
  <c r="H21" i="33"/>
  <c r="J20" i="33"/>
  <c r="I20" i="33"/>
  <c r="H20" i="33"/>
  <c r="J19" i="33"/>
  <c r="I19" i="33"/>
  <c r="H19" i="33"/>
  <c r="J18" i="33"/>
  <c r="I18" i="33"/>
  <c r="H18" i="33"/>
  <c r="J17" i="33"/>
  <c r="I17" i="33"/>
  <c r="H17" i="33"/>
  <c r="J16" i="33"/>
  <c r="I16" i="33"/>
  <c r="H16" i="33"/>
  <c r="J15" i="33"/>
  <c r="I15" i="33"/>
  <c r="H15" i="33"/>
  <c r="J14" i="33"/>
  <c r="I14" i="33"/>
  <c r="H14" i="33"/>
  <c r="J13" i="33"/>
  <c r="I13" i="33"/>
  <c r="H13" i="33"/>
  <c r="J12" i="33"/>
  <c r="I12" i="33"/>
  <c r="H12" i="33"/>
  <c r="J11" i="33"/>
  <c r="I11" i="33"/>
  <c r="H11" i="33"/>
  <c r="J10" i="33"/>
  <c r="I10" i="33"/>
  <c r="H10" i="33"/>
  <c r="J9" i="33"/>
  <c r="I9" i="33"/>
  <c r="H9" i="33"/>
  <c r="C21" i="33"/>
  <c r="C20" i="33"/>
  <c r="C19" i="33"/>
  <c r="C18" i="33"/>
  <c r="C17" i="33"/>
  <c r="C16" i="33"/>
  <c r="C15" i="33"/>
  <c r="C14" i="33"/>
  <c r="C13" i="33"/>
  <c r="C12" i="33"/>
  <c r="C11" i="33"/>
  <c r="C10" i="33"/>
  <c r="C9" i="33"/>
  <c r="D21" i="33"/>
  <c r="D20" i="33"/>
  <c r="D19" i="33"/>
  <c r="D18" i="33"/>
  <c r="D17" i="33"/>
  <c r="D16" i="33"/>
  <c r="D15" i="33"/>
  <c r="D14" i="33"/>
  <c r="D13" i="33"/>
  <c r="D12" i="33"/>
  <c r="D11" i="33"/>
  <c r="D10" i="33"/>
  <c r="D9" i="33"/>
  <c r="D8" i="33"/>
  <c r="K92" i="33"/>
  <c r="L92" i="33" s="1"/>
  <c r="F92" i="33"/>
  <c r="G92" i="33" s="1"/>
  <c r="K91" i="33"/>
  <c r="L91" i="33" s="1"/>
  <c r="F91" i="33"/>
  <c r="G91" i="33" s="1"/>
  <c r="K90" i="33"/>
  <c r="L90" i="33" s="1"/>
  <c r="F90" i="33"/>
  <c r="G90" i="33" s="1"/>
  <c r="K89" i="33"/>
  <c r="L89" i="33" s="1"/>
  <c r="F89" i="33"/>
  <c r="G89" i="33" s="1"/>
  <c r="K88" i="33"/>
  <c r="L88" i="33" s="1"/>
  <c r="F88" i="33"/>
  <c r="G88" i="33" s="1"/>
  <c r="K87" i="33"/>
  <c r="L87" i="33" s="1"/>
  <c r="F87" i="33"/>
  <c r="G87" i="33" s="1"/>
  <c r="K86" i="33"/>
  <c r="L86" i="33" s="1"/>
  <c r="F86" i="33"/>
  <c r="G86" i="33" s="1"/>
  <c r="K85" i="33"/>
  <c r="L85" i="33" s="1"/>
  <c r="F85" i="33"/>
  <c r="G85" i="33" s="1"/>
  <c r="K84" i="33"/>
  <c r="L84" i="33" s="1"/>
  <c r="F84" i="33"/>
  <c r="G84" i="33" s="1"/>
  <c r="K83" i="33"/>
  <c r="L83" i="33" s="1"/>
  <c r="F83" i="33"/>
  <c r="G83" i="33" s="1"/>
  <c r="K82" i="33"/>
  <c r="L82" i="33" s="1"/>
  <c r="F82" i="33"/>
  <c r="G82" i="33" s="1"/>
  <c r="K81" i="33"/>
  <c r="L81" i="33" s="1"/>
  <c r="F81" i="33"/>
  <c r="G81" i="33" s="1"/>
  <c r="K80" i="33"/>
  <c r="F80" i="33"/>
  <c r="G80" i="33" s="1"/>
  <c r="J78" i="33"/>
  <c r="I78" i="33"/>
  <c r="H78" i="33"/>
  <c r="E78" i="33"/>
  <c r="D78" i="33"/>
  <c r="C78" i="33"/>
  <c r="K78" i="33" l="1"/>
  <c r="L80" i="33"/>
  <c r="G78" i="33"/>
  <c r="F78" i="33"/>
  <c r="K8" i="32"/>
  <c r="AH8" i="32" s="1"/>
  <c r="L78" i="33" l="1"/>
  <c r="C60" i="33"/>
  <c r="D60" i="33"/>
  <c r="V21" i="30" l="1"/>
  <c r="T21" i="30" s="1"/>
  <c r="U21" i="30"/>
  <c r="R21" i="30"/>
  <c r="P21" i="30" s="1"/>
  <c r="Q21" i="30"/>
  <c r="N21" i="30"/>
  <c r="L21" i="30" s="1"/>
  <c r="K21" i="30" s="1"/>
  <c r="M21" i="30"/>
  <c r="J21" i="30"/>
  <c r="I21" i="30"/>
  <c r="G21" i="30" s="1"/>
  <c r="V20" i="30"/>
  <c r="T20" i="30" s="1"/>
  <c r="U20" i="30"/>
  <c r="R20" i="30"/>
  <c r="P20" i="30" s="1"/>
  <c r="Q20" i="30"/>
  <c r="N20" i="30"/>
  <c r="M20" i="30"/>
  <c r="J20" i="30"/>
  <c r="I20" i="30"/>
  <c r="V19" i="30"/>
  <c r="T19" i="30" s="1"/>
  <c r="U19" i="30"/>
  <c r="R19" i="30"/>
  <c r="P19" i="30" s="1"/>
  <c r="Q19" i="30"/>
  <c r="N19" i="30"/>
  <c r="L19" i="30" s="1"/>
  <c r="M19" i="30"/>
  <c r="J19" i="30"/>
  <c r="I19" i="30"/>
  <c r="V18" i="30"/>
  <c r="T18" i="30" s="1"/>
  <c r="U18" i="30"/>
  <c r="R18" i="30"/>
  <c r="P18" i="30" s="1"/>
  <c r="Q18" i="30"/>
  <c r="N18" i="30"/>
  <c r="L18" i="30" s="1"/>
  <c r="M18" i="30"/>
  <c r="J18" i="30"/>
  <c r="I18" i="30"/>
  <c r="V17" i="30"/>
  <c r="T17" i="30" s="1"/>
  <c r="U17" i="30"/>
  <c r="R17" i="30"/>
  <c r="P17" i="30" s="1"/>
  <c r="Q17" i="30"/>
  <c r="N17" i="30"/>
  <c r="L17" i="30" s="1"/>
  <c r="M17" i="30"/>
  <c r="J17" i="30"/>
  <c r="I17" i="30"/>
  <c r="V16" i="30"/>
  <c r="T16" i="30" s="1"/>
  <c r="U16" i="30"/>
  <c r="R16" i="30"/>
  <c r="P16" i="30" s="1"/>
  <c r="Q16" i="30"/>
  <c r="N16" i="30"/>
  <c r="L16" i="30" s="1"/>
  <c r="D16" i="30" s="1"/>
  <c r="M16" i="30"/>
  <c r="J16" i="30"/>
  <c r="I16" i="30"/>
  <c r="V15" i="30"/>
  <c r="T15" i="30" s="1"/>
  <c r="U15" i="30"/>
  <c r="R15" i="30"/>
  <c r="P15" i="30" s="1"/>
  <c r="Q15" i="30"/>
  <c r="N15" i="30"/>
  <c r="L15" i="30" s="1"/>
  <c r="M15" i="30"/>
  <c r="J15" i="30"/>
  <c r="I15" i="30"/>
  <c r="V14" i="30"/>
  <c r="T14" i="30" s="1"/>
  <c r="U14" i="30"/>
  <c r="R14" i="30"/>
  <c r="P14" i="30" s="1"/>
  <c r="Q14" i="30"/>
  <c r="N14" i="30"/>
  <c r="L14" i="30" s="1"/>
  <c r="M14" i="30"/>
  <c r="J14" i="30"/>
  <c r="F14" i="30" s="1"/>
  <c r="I14" i="30"/>
  <c r="V13" i="30"/>
  <c r="T13" i="30" s="1"/>
  <c r="U13" i="30"/>
  <c r="R13" i="30"/>
  <c r="P13" i="30" s="1"/>
  <c r="Q13" i="30"/>
  <c r="N13" i="30"/>
  <c r="M13" i="30"/>
  <c r="L13" i="30"/>
  <c r="J13" i="30"/>
  <c r="I13" i="30"/>
  <c r="V12" i="30"/>
  <c r="T12" i="30" s="1"/>
  <c r="U12" i="30"/>
  <c r="R12" i="30"/>
  <c r="P12" i="30" s="1"/>
  <c r="Q12" i="30"/>
  <c r="N12" i="30"/>
  <c r="L12" i="30" s="1"/>
  <c r="M12" i="30"/>
  <c r="J12" i="30"/>
  <c r="I12" i="30"/>
  <c r="V11" i="30"/>
  <c r="T11" i="30" s="1"/>
  <c r="U11" i="30"/>
  <c r="R11" i="30"/>
  <c r="P11" i="30" s="1"/>
  <c r="Q11" i="30"/>
  <c r="N11" i="30"/>
  <c r="L11" i="30" s="1"/>
  <c r="M11" i="30"/>
  <c r="J11" i="30"/>
  <c r="I11" i="30"/>
  <c r="V10" i="30"/>
  <c r="T10" i="30" s="1"/>
  <c r="U10" i="30"/>
  <c r="R10" i="30"/>
  <c r="P10" i="30" s="1"/>
  <c r="Q10" i="30"/>
  <c r="N10" i="30"/>
  <c r="L10" i="30" s="1"/>
  <c r="M10" i="30"/>
  <c r="J10" i="30"/>
  <c r="I10" i="30"/>
  <c r="V9" i="30"/>
  <c r="T9" i="30" s="1"/>
  <c r="U9" i="30"/>
  <c r="R9" i="30"/>
  <c r="Q9" i="30"/>
  <c r="N9" i="30"/>
  <c r="L9" i="30" s="1"/>
  <c r="M9" i="30"/>
  <c r="J9" i="30"/>
  <c r="I9" i="30"/>
  <c r="Z7" i="30"/>
  <c r="Y7" i="30"/>
  <c r="X7" i="30"/>
  <c r="H7" i="30"/>
  <c r="A3" i="30"/>
  <c r="L21" i="28"/>
  <c r="K21" i="28"/>
  <c r="G21" i="28"/>
  <c r="F21" i="28"/>
  <c r="L20" i="28"/>
  <c r="K20" i="28"/>
  <c r="G20" i="28"/>
  <c r="F20" i="28"/>
  <c r="L19" i="28"/>
  <c r="K19" i="28"/>
  <c r="G19" i="28"/>
  <c r="F19" i="28"/>
  <c r="L18" i="28"/>
  <c r="K18" i="28"/>
  <c r="G18" i="28"/>
  <c r="F18" i="28"/>
  <c r="L17" i="28"/>
  <c r="K17" i="28"/>
  <c r="G17" i="28"/>
  <c r="F17" i="28"/>
  <c r="L16" i="28"/>
  <c r="K16" i="28"/>
  <c r="G16" i="28"/>
  <c r="F16" i="28"/>
  <c r="L15" i="28"/>
  <c r="K15" i="28"/>
  <c r="G15" i="28"/>
  <c r="F15" i="28"/>
  <c r="L14" i="28"/>
  <c r="K14" i="28"/>
  <c r="G14" i="28"/>
  <c r="F14" i="28"/>
  <c r="L13" i="28"/>
  <c r="K13" i="28"/>
  <c r="G13" i="28"/>
  <c r="F13" i="28"/>
  <c r="L12" i="28"/>
  <c r="K12" i="28"/>
  <c r="G12" i="28"/>
  <c r="F12" i="28"/>
  <c r="L11" i="28"/>
  <c r="K11" i="28"/>
  <c r="G11" i="28"/>
  <c r="F11" i="28"/>
  <c r="L10" i="28"/>
  <c r="K10" i="28"/>
  <c r="G10" i="28"/>
  <c r="F10" i="28"/>
  <c r="L9" i="28"/>
  <c r="K9" i="28"/>
  <c r="G9" i="28"/>
  <c r="F9" i="28"/>
  <c r="L8" i="28"/>
  <c r="K8" i="28"/>
  <c r="K7" i="28" s="1"/>
  <c r="G8" i="28"/>
  <c r="F8" i="28"/>
  <c r="A3" i="28"/>
  <c r="G97" i="27"/>
  <c r="C97" i="27"/>
  <c r="G96" i="27"/>
  <c r="C96" i="27"/>
  <c r="G95" i="27"/>
  <c r="C95" i="27"/>
  <c r="G94" i="27"/>
  <c r="C94" i="27"/>
  <c r="G93" i="27"/>
  <c r="C93" i="27"/>
  <c r="G92" i="27"/>
  <c r="C92" i="27"/>
  <c r="G91" i="27"/>
  <c r="C91" i="27"/>
  <c r="G90" i="27"/>
  <c r="C90" i="27"/>
  <c r="G89" i="27"/>
  <c r="C89" i="27"/>
  <c r="G88" i="27"/>
  <c r="C88" i="27"/>
  <c r="G87" i="27"/>
  <c r="C87" i="27"/>
  <c r="G86" i="27"/>
  <c r="C86" i="27"/>
  <c r="G85" i="27"/>
  <c r="C85" i="27"/>
  <c r="J83" i="27"/>
  <c r="I83" i="27"/>
  <c r="H83" i="27"/>
  <c r="F83" i="27"/>
  <c r="E83" i="27"/>
  <c r="D83" i="27"/>
  <c r="G78" i="27"/>
  <c r="C78" i="27"/>
  <c r="G77" i="27"/>
  <c r="C77" i="27"/>
  <c r="G76" i="27"/>
  <c r="C76" i="27"/>
  <c r="G75" i="27"/>
  <c r="C75" i="27"/>
  <c r="G74" i="27"/>
  <c r="C74" i="27"/>
  <c r="G73" i="27"/>
  <c r="C73" i="27"/>
  <c r="G72" i="27"/>
  <c r="C72" i="27"/>
  <c r="G71" i="27"/>
  <c r="C71" i="27"/>
  <c r="G70" i="27"/>
  <c r="C70" i="27"/>
  <c r="G69" i="27"/>
  <c r="C69" i="27"/>
  <c r="G68" i="27"/>
  <c r="C68" i="27"/>
  <c r="G67" i="27"/>
  <c r="C67" i="27"/>
  <c r="G66" i="27"/>
  <c r="C66" i="27"/>
  <c r="J64" i="27"/>
  <c r="I64" i="27"/>
  <c r="H64" i="27"/>
  <c r="F64" i="27"/>
  <c r="E64" i="27"/>
  <c r="D64" i="27"/>
  <c r="J59" i="27"/>
  <c r="I59" i="27"/>
  <c r="H59" i="27"/>
  <c r="F59" i="27"/>
  <c r="E59" i="27"/>
  <c r="D59" i="27"/>
  <c r="J58" i="27"/>
  <c r="I58" i="27"/>
  <c r="H58" i="27"/>
  <c r="F58" i="27"/>
  <c r="E58" i="27"/>
  <c r="D58" i="27"/>
  <c r="J57" i="27"/>
  <c r="I57" i="27"/>
  <c r="H57" i="27"/>
  <c r="F57" i="27"/>
  <c r="E57" i="27"/>
  <c r="D57" i="27"/>
  <c r="J56" i="27"/>
  <c r="I56" i="27"/>
  <c r="H56" i="27"/>
  <c r="F56" i="27"/>
  <c r="E56" i="27"/>
  <c r="D56" i="27"/>
  <c r="J55" i="27"/>
  <c r="I55" i="27"/>
  <c r="H55" i="27"/>
  <c r="F55" i="27"/>
  <c r="E55" i="27"/>
  <c r="D55" i="27"/>
  <c r="J54" i="27"/>
  <c r="I54" i="27"/>
  <c r="H54" i="27"/>
  <c r="F54" i="27"/>
  <c r="E54" i="27"/>
  <c r="D54" i="27"/>
  <c r="J53" i="27"/>
  <c r="I53" i="27"/>
  <c r="H53" i="27"/>
  <c r="F53" i="27"/>
  <c r="E53" i="27"/>
  <c r="D53" i="27"/>
  <c r="J52" i="27"/>
  <c r="I52" i="27"/>
  <c r="H52" i="27"/>
  <c r="F52" i="27"/>
  <c r="E52" i="27"/>
  <c r="D52" i="27"/>
  <c r="J51" i="27"/>
  <c r="I51" i="27"/>
  <c r="H51" i="27"/>
  <c r="F51" i="27"/>
  <c r="E51" i="27"/>
  <c r="D51" i="27"/>
  <c r="J50" i="27"/>
  <c r="I50" i="27"/>
  <c r="H50" i="27"/>
  <c r="F50" i="27"/>
  <c r="E50" i="27"/>
  <c r="D50" i="27"/>
  <c r="J49" i="27"/>
  <c r="I49" i="27"/>
  <c r="H49" i="27"/>
  <c r="F49" i="27"/>
  <c r="E49" i="27"/>
  <c r="D49" i="27"/>
  <c r="J48" i="27"/>
  <c r="I48" i="27"/>
  <c r="H48" i="27"/>
  <c r="F48" i="27"/>
  <c r="E48" i="27"/>
  <c r="D48" i="27"/>
  <c r="J47" i="27"/>
  <c r="I47" i="27"/>
  <c r="H47" i="27"/>
  <c r="F47" i="27"/>
  <c r="E47" i="27"/>
  <c r="D47" i="27"/>
  <c r="J46" i="27"/>
  <c r="I46" i="27"/>
  <c r="I45" i="27" s="1"/>
  <c r="H46" i="27"/>
  <c r="F46" i="27"/>
  <c r="E46" i="27"/>
  <c r="D46" i="27"/>
  <c r="J40" i="27"/>
  <c r="I40" i="27"/>
  <c r="H40" i="27"/>
  <c r="H21" i="27" s="1"/>
  <c r="L21" i="29" s="1"/>
  <c r="F40" i="27"/>
  <c r="E40" i="27"/>
  <c r="D40" i="27"/>
  <c r="J39" i="27"/>
  <c r="J20" i="27" s="1"/>
  <c r="N20" i="29" s="1"/>
  <c r="I39" i="27"/>
  <c r="H39" i="27"/>
  <c r="F39" i="27"/>
  <c r="E39" i="27"/>
  <c r="D39" i="27"/>
  <c r="J38" i="27"/>
  <c r="I38" i="27"/>
  <c r="H38" i="27"/>
  <c r="H19" i="27" s="1"/>
  <c r="L19" i="29" s="1"/>
  <c r="F38" i="27"/>
  <c r="E38" i="27"/>
  <c r="D38" i="27"/>
  <c r="J37" i="27"/>
  <c r="J18" i="27" s="1"/>
  <c r="N18" i="29" s="1"/>
  <c r="I37" i="27"/>
  <c r="H37" i="27"/>
  <c r="F37" i="27"/>
  <c r="E37" i="27"/>
  <c r="D37" i="27"/>
  <c r="J36" i="27"/>
  <c r="I36" i="27"/>
  <c r="H36" i="27"/>
  <c r="H17" i="27" s="1"/>
  <c r="L17" i="29" s="1"/>
  <c r="F36" i="27"/>
  <c r="E36" i="27"/>
  <c r="D36" i="27"/>
  <c r="J35" i="27"/>
  <c r="J16" i="27" s="1"/>
  <c r="N16" i="29" s="1"/>
  <c r="I35" i="27"/>
  <c r="H35" i="27"/>
  <c r="F35" i="27"/>
  <c r="E35" i="27"/>
  <c r="D35" i="27"/>
  <c r="J34" i="27"/>
  <c r="I34" i="27"/>
  <c r="H34" i="27"/>
  <c r="H15" i="27" s="1"/>
  <c r="L15" i="29" s="1"/>
  <c r="F34" i="27"/>
  <c r="E34" i="27"/>
  <c r="D34" i="27"/>
  <c r="J33" i="27"/>
  <c r="J14" i="27" s="1"/>
  <c r="N14" i="29" s="1"/>
  <c r="I33" i="27"/>
  <c r="H33" i="27"/>
  <c r="F33" i="27"/>
  <c r="E33" i="27"/>
  <c r="D33" i="27"/>
  <c r="J32" i="27"/>
  <c r="I32" i="27"/>
  <c r="H32" i="27"/>
  <c r="H13" i="27" s="1"/>
  <c r="L13" i="29" s="1"/>
  <c r="F32" i="27"/>
  <c r="E32" i="27"/>
  <c r="D32" i="27"/>
  <c r="J31" i="27"/>
  <c r="J12" i="27" s="1"/>
  <c r="N12" i="29" s="1"/>
  <c r="I31" i="27"/>
  <c r="H31" i="27"/>
  <c r="F31" i="27"/>
  <c r="E31" i="27"/>
  <c r="D31" i="27"/>
  <c r="J30" i="27"/>
  <c r="I30" i="27"/>
  <c r="H30" i="27"/>
  <c r="H11" i="27" s="1"/>
  <c r="L11" i="29" s="1"/>
  <c r="F30" i="27"/>
  <c r="E30" i="27"/>
  <c r="D30" i="27"/>
  <c r="J29" i="27"/>
  <c r="J10" i="27" s="1"/>
  <c r="N10" i="29" s="1"/>
  <c r="I29" i="27"/>
  <c r="H29" i="27"/>
  <c r="F29" i="27"/>
  <c r="E29" i="27"/>
  <c r="D29" i="27"/>
  <c r="J28" i="27"/>
  <c r="I28" i="27"/>
  <c r="H28" i="27"/>
  <c r="H9" i="27" s="1"/>
  <c r="L9" i="29" s="1"/>
  <c r="F28" i="27"/>
  <c r="E28" i="27"/>
  <c r="D28" i="27"/>
  <c r="J27" i="27"/>
  <c r="J8" i="27" s="1"/>
  <c r="I27" i="27"/>
  <c r="H27" i="27"/>
  <c r="F27" i="27"/>
  <c r="E27" i="27"/>
  <c r="D27" i="27"/>
  <c r="A3" i="27"/>
  <c r="L21" i="31"/>
  <c r="R21" i="31" s="1"/>
  <c r="D21" i="31"/>
  <c r="J21" i="31" s="1"/>
  <c r="L20" i="31"/>
  <c r="R20" i="31" s="1"/>
  <c r="D20" i="31"/>
  <c r="J20" i="31" s="1"/>
  <c r="L19" i="31"/>
  <c r="R19" i="31" s="1"/>
  <c r="D19" i="31"/>
  <c r="J19" i="31" s="1"/>
  <c r="L18" i="31"/>
  <c r="R18" i="31" s="1"/>
  <c r="D18" i="31"/>
  <c r="J18" i="31" s="1"/>
  <c r="L17" i="31"/>
  <c r="R17" i="31" s="1"/>
  <c r="D17" i="31"/>
  <c r="J17" i="31" s="1"/>
  <c r="L16" i="31"/>
  <c r="R16" i="31" s="1"/>
  <c r="D16" i="31"/>
  <c r="J16" i="31" s="1"/>
  <c r="L15" i="31"/>
  <c r="R15" i="31" s="1"/>
  <c r="D15" i="31"/>
  <c r="J15" i="31" s="1"/>
  <c r="L14" i="31"/>
  <c r="R14" i="31" s="1"/>
  <c r="D14" i="31"/>
  <c r="J14" i="31" s="1"/>
  <c r="L13" i="31"/>
  <c r="R13" i="31" s="1"/>
  <c r="D13" i="31"/>
  <c r="J13" i="31" s="1"/>
  <c r="L12" i="31"/>
  <c r="R12" i="31" s="1"/>
  <c r="D12" i="31"/>
  <c r="J12" i="31" s="1"/>
  <c r="L11" i="31"/>
  <c r="R11" i="31" s="1"/>
  <c r="D11" i="31"/>
  <c r="J11" i="31" s="1"/>
  <c r="L10" i="31"/>
  <c r="R10" i="31" s="1"/>
  <c r="D10" i="31"/>
  <c r="J10" i="31" s="1"/>
  <c r="L9" i="31"/>
  <c r="D9" i="31"/>
  <c r="J9" i="31" s="1"/>
  <c r="D8" i="31"/>
  <c r="U7" i="31"/>
  <c r="T7" i="31"/>
  <c r="Q7" i="31"/>
  <c r="P7" i="31"/>
  <c r="O7" i="31"/>
  <c r="N7" i="31"/>
  <c r="M7" i="31"/>
  <c r="K7" i="31"/>
  <c r="I7" i="31"/>
  <c r="H7" i="31"/>
  <c r="G7" i="31"/>
  <c r="F7" i="31"/>
  <c r="E7" i="31"/>
  <c r="C7" i="31"/>
  <c r="J20" i="36"/>
  <c r="G20" i="36"/>
  <c r="F20" i="36"/>
  <c r="E20" i="36"/>
  <c r="D20" i="36"/>
  <c r="C20" i="36"/>
  <c r="H19" i="36"/>
  <c r="H18" i="36"/>
  <c r="H17" i="36"/>
  <c r="H16" i="36"/>
  <c r="H15" i="36"/>
  <c r="H14" i="36"/>
  <c r="H13" i="36"/>
  <c r="H12" i="36"/>
  <c r="H11" i="36"/>
  <c r="H10" i="36"/>
  <c r="H9" i="36"/>
  <c r="H8" i="36"/>
  <c r="A8" i="36"/>
  <c r="A9" i="36" s="1"/>
  <c r="A10" i="36" s="1"/>
  <c r="A11" i="36" s="1"/>
  <c r="A12" i="36" s="1"/>
  <c r="A13" i="36" s="1"/>
  <c r="A14" i="36" s="1"/>
  <c r="A15" i="36" s="1"/>
  <c r="A16" i="36" s="1"/>
  <c r="A17" i="36" s="1"/>
  <c r="A18" i="36" s="1"/>
  <c r="A19" i="36" s="1"/>
  <c r="H7" i="36"/>
  <c r="G94" i="34"/>
  <c r="F94" i="34"/>
  <c r="C94" i="34"/>
  <c r="J93" i="34"/>
  <c r="I93" i="34"/>
  <c r="H93" i="34"/>
  <c r="E93" i="34"/>
  <c r="J92" i="34"/>
  <c r="I92" i="34"/>
  <c r="H92" i="34"/>
  <c r="E92" i="34"/>
  <c r="J91" i="34"/>
  <c r="I91" i="34"/>
  <c r="H91" i="34"/>
  <c r="E91" i="34"/>
  <c r="J90" i="34"/>
  <c r="I90" i="34"/>
  <c r="H90" i="34"/>
  <c r="E90" i="34"/>
  <c r="J89" i="34"/>
  <c r="I89" i="34"/>
  <c r="H89" i="34"/>
  <c r="E89" i="34"/>
  <c r="J88" i="34"/>
  <c r="I88" i="34"/>
  <c r="H88" i="34"/>
  <c r="E88" i="34"/>
  <c r="J87" i="34"/>
  <c r="I87" i="34"/>
  <c r="H87" i="34"/>
  <c r="E87" i="34"/>
  <c r="J86" i="34"/>
  <c r="I86" i="34"/>
  <c r="H86" i="34"/>
  <c r="E86" i="34"/>
  <c r="I85" i="34"/>
  <c r="H85" i="34"/>
  <c r="D85" i="34"/>
  <c r="J85" i="34" s="1"/>
  <c r="J84" i="34"/>
  <c r="I84" i="34"/>
  <c r="H84" i="34"/>
  <c r="E84" i="34"/>
  <c r="J83" i="34"/>
  <c r="I83" i="34"/>
  <c r="H83" i="34"/>
  <c r="E83" i="34"/>
  <c r="J82" i="34"/>
  <c r="I82" i="34"/>
  <c r="H82" i="34"/>
  <c r="E82" i="34"/>
  <c r="A82" i="34"/>
  <c r="A83" i="34" s="1"/>
  <c r="A84" i="34" s="1"/>
  <c r="A85" i="34" s="1"/>
  <c r="A86" i="34" s="1"/>
  <c r="A87" i="34" s="1"/>
  <c r="A88" i="34" s="1"/>
  <c r="A89" i="34" s="1"/>
  <c r="A90" i="34" s="1"/>
  <c r="A91" i="34" s="1"/>
  <c r="A92" i="34" s="1"/>
  <c r="A93" i="34" s="1"/>
  <c r="J81" i="34"/>
  <c r="I81" i="34"/>
  <c r="H81" i="34"/>
  <c r="E81" i="34"/>
  <c r="J80" i="34"/>
  <c r="I80" i="34"/>
  <c r="K80" i="34" s="1"/>
  <c r="E80" i="34"/>
  <c r="E7" i="34" s="1"/>
  <c r="F75" i="34"/>
  <c r="C75" i="34"/>
  <c r="J74" i="34"/>
  <c r="I74" i="34"/>
  <c r="H74" i="34"/>
  <c r="E74" i="34"/>
  <c r="J73" i="34"/>
  <c r="I73" i="34"/>
  <c r="H73" i="34"/>
  <c r="E73" i="34"/>
  <c r="J72" i="34"/>
  <c r="I72" i="34"/>
  <c r="H72" i="34"/>
  <c r="E72" i="34"/>
  <c r="I71" i="34"/>
  <c r="G71" i="34"/>
  <c r="J71" i="34" s="1"/>
  <c r="E71" i="34"/>
  <c r="J70" i="34"/>
  <c r="I70" i="34"/>
  <c r="H70" i="34"/>
  <c r="E70" i="34"/>
  <c r="I69" i="34"/>
  <c r="G69" i="34"/>
  <c r="E69" i="34"/>
  <c r="I68" i="34"/>
  <c r="G68" i="34"/>
  <c r="J68" i="34" s="1"/>
  <c r="E68" i="34"/>
  <c r="J67" i="34"/>
  <c r="I67" i="34"/>
  <c r="H67" i="34"/>
  <c r="E67" i="34"/>
  <c r="J66" i="34"/>
  <c r="I66" i="34"/>
  <c r="H66" i="34"/>
  <c r="E66" i="34"/>
  <c r="J65" i="34"/>
  <c r="I65" i="34"/>
  <c r="H65" i="34"/>
  <c r="E65" i="34"/>
  <c r="J64" i="34"/>
  <c r="I64" i="34"/>
  <c r="H64" i="34"/>
  <c r="E64" i="34"/>
  <c r="I63" i="34"/>
  <c r="H63" i="34"/>
  <c r="D63" i="34"/>
  <c r="A63" i="34"/>
  <c r="A64" i="34" s="1"/>
  <c r="A65" i="34" s="1"/>
  <c r="A66" i="34" s="1"/>
  <c r="A67" i="34" s="1"/>
  <c r="A68" i="34" s="1"/>
  <c r="A69" i="34" s="1"/>
  <c r="A70" i="34" s="1"/>
  <c r="A71" i="34" s="1"/>
  <c r="A72" i="34" s="1"/>
  <c r="A73" i="34" s="1"/>
  <c r="A74" i="34" s="1"/>
  <c r="J62" i="34"/>
  <c r="I62" i="34"/>
  <c r="H62" i="34"/>
  <c r="E62" i="34"/>
  <c r="F57" i="34"/>
  <c r="D57" i="34"/>
  <c r="C57" i="34"/>
  <c r="J56" i="34"/>
  <c r="I56" i="34"/>
  <c r="H56" i="34"/>
  <c r="E56" i="34"/>
  <c r="I55" i="34"/>
  <c r="G55" i="34"/>
  <c r="H55" i="34" s="1"/>
  <c r="E55" i="34"/>
  <c r="J54" i="34"/>
  <c r="I54" i="34"/>
  <c r="H54" i="34"/>
  <c r="E54" i="34"/>
  <c r="J53" i="34"/>
  <c r="I53" i="34"/>
  <c r="H53" i="34"/>
  <c r="E53" i="34"/>
  <c r="J52" i="34"/>
  <c r="I52" i="34"/>
  <c r="H52" i="34"/>
  <c r="E52" i="34"/>
  <c r="J51" i="34"/>
  <c r="I51" i="34"/>
  <c r="H51" i="34"/>
  <c r="E51" i="34"/>
  <c r="J50" i="34"/>
  <c r="I50" i="34"/>
  <c r="H50" i="34"/>
  <c r="E50" i="34"/>
  <c r="J49" i="34"/>
  <c r="I49" i="34"/>
  <c r="H49" i="34"/>
  <c r="E49" i="34"/>
  <c r="J48" i="34"/>
  <c r="I48" i="34"/>
  <c r="H48" i="34"/>
  <c r="E48" i="34"/>
  <c r="J47" i="34"/>
  <c r="I47" i="34"/>
  <c r="H47" i="34"/>
  <c r="E47" i="34"/>
  <c r="J46" i="34"/>
  <c r="I46" i="34"/>
  <c r="H46" i="34"/>
  <c r="E46" i="34"/>
  <c r="J45" i="34"/>
  <c r="I45" i="34"/>
  <c r="H45" i="34"/>
  <c r="E45" i="34"/>
  <c r="A45" i="34"/>
  <c r="A46" i="34" s="1"/>
  <c r="A47" i="34" s="1"/>
  <c r="A48" i="34" s="1"/>
  <c r="A49" i="34" s="1"/>
  <c r="A50" i="34" s="1"/>
  <c r="A51" i="34" s="1"/>
  <c r="A52" i="34" s="1"/>
  <c r="A53" i="34" s="1"/>
  <c r="A54" i="34" s="1"/>
  <c r="A55" i="34" s="1"/>
  <c r="A56" i="34" s="1"/>
  <c r="J44" i="34"/>
  <c r="I44" i="34"/>
  <c r="H44" i="34"/>
  <c r="E44" i="34"/>
  <c r="F39" i="34"/>
  <c r="C39" i="34"/>
  <c r="J38" i="34"/>
  <c r="I38" i="34"/>
  <c r="H38" i="34"/>
  <c r="E38" i="34"/>
  <c r="J37" i="34"/>
  <c r="I37" i="34"/>
  <c r="H37" i="34"/>
  <c r="E37" i="34"/>
  <c r="J36" i="34"/>
  <c r="I36" i="34"/>
  <c r="H36" i="34"/>
  <c r="E36" i="34"/>
  <c r="I35" i="34"/>
  <c r="H35" i="34"/>
  <c r="D35" i="34"/>
  <c r="K34" i="34"/>
  <c r="J34" i="34"/>
  <c r="I34" i="34"/>
  <c r="H34" i="34"/>
  <c r="E34" i="34"/>
  <c r="J33" i="34"/>
  <c r="I33" i="34"/>
  <c r="H33" i="34"/>
  <c r="E33" i="34"/>
  <c r="J32" i="34"/>
  <c r="I32" i="34"/>
  <c r="H32" i="34"/>
  <c r="E32" i="34"/>
  <c r="I31" i="34"/>
  <c r="G31" i="34"/>
  <c r="H31" i="34" s="1"/>
  <c r="D31" i="34"/>
  <c r="D13" i="34" s="1"/>
  <c r="J30" i="34"/>
  <c r="I30" i="34"/>
  <c r="H30" i="34"/>
  <c r="E30" i="34"/>
  <c r="J29" i="34"/>
  <c r="I29" i="34"/>
  <c r="H29" i="34"/>
  <c r="E29" i="34"/>
  <c r="J28" i="34"/>
  <c r="I28" i="34"/>
  <c r="H28" i="34"/>
  <c r="E28" i="34"/>
  <c r="J27" i="34"/>
  <c r="I27" i="34"/>
  <c r="H27" i="34"/>
  <c r="E27" i="34"/>
  <c r="A27" i="34"/>
  <c r="A28" i="34" s="1"/>
  <c r="A29" i="34" s="1"/>
  <c r="A30" i="34" s="1"/>
  <c r="A31" i="34" s="1"/>
  <c r="A32" i="34" s="1"/>
  <c r="A33" i="34" s="1"/>
  <c r="A34" i="34" s="1"/>
  <c r="A35" i="34" s="1"/>
  <c r="A36" i="34" s="1"/>
  <c r="A37" i="34" s="1"/>
  <c r="A38" i="34" s="1"/>
  <c r="I26" i="34"/>
  <c r="G26" i="34"/>
  <c r="H26" i="34" s="1"/>
  <c r="E26" i="34"/>
  <c r="H20" i="34"/>
  <c r="G20" i="34"/>
  <c r="F20" i="34"/>
  <c r="D20" i="34"/>
  <c r="C20" i="34"/>
  <c r="I20" i="34" s="1"/>
  <c r="F19" i="34"/>
  <c r="D19" i="34"/>
  <c r="C19" i="34"/>
  <c r="H18" i="34"/>
  <c r="G18" i="34"/>
  <c r="F18" i="34"/>
  <c r="D18" i="34"/>
  <c r="C18" i="34"/>
  <c r="I18" i="34" s="1"/>
  <c r="F17" i="34"/>
  <c r="C17" i="34"/>
  <c r="G16" i="34"/>
  <c r="F16" i="34"/>
  <c r="D16" i="34"/>
  <c r="C16" i="34"/>
  <c r="F15" i="34"/>
  <c r="I15" i="34" s="1"/>
  <c r="D15" i="34"/>
  <c r="E15" i="34" s="1"/>
  <c r="C15" i="34"/>
  <c r="F14" i="34"/>
  <c r="D14" i="34"/>
  <c r="C14" i="34"/>
  <c r="F13" i="34"/>
  <c r="C13" i="34"/>
  <c r="G12" i="34"/>
  <c r="H12" i="34" s="1"/>
  <c r="F12" i="34"/>
  <c r="D12" i="34"/>
  <c r="C12" i="34"/>
  <c r="I12" i="34" s="1"/>
  <c r="G11" i="34"/>
  <c r="F11" i="34"/>
  <c r="D11" i="34"/>
  <c r="C11" i="34"/>
  <c r="G10" i="34"/>
  <c r="F10" i="34"/>
  <c r="D10" i="34"/>
  <c r="C10" i="34"/>
  <c r="G9" i="34"/>
  <c r="H9" i="34" s="1"/>
  <c r="F9" i="34"/>
  <c r="C9" i="34"/>
  <c r="A9" i="34"/>
  <c r="A10" i="34" s="1"/>
  <c r="A11" i="34" s="1"/>
  <c r="A12" i="34" s="1"/>
  <c r="A13" i="34" s="1"/>
  <c r="A14" i="34" s="1"/>
  <c r="A15" i="34" s="1"/>
  <c r="A16" i="34" s="1"/>
  <c r="A17" i="34" s="1"/>
  <c r="A18" i="34" s="1"/>
  <c r="A19" i="34" s="1"/>
  <c r="A20" i="34" s="1"/>
  <c r="F8" i="34"/>
  <c r="D8" i="34"/>
  <c r="C8" i="34"/>
  <c r="D7" i="34"/>
  <c r="C7" i="34"/>
  <c r="I7" i="34" s="1"/>
  <c r="F77" i="35"/>
  <c r="C77" i="35"/>
  <c r="J76" i="35"/>
  <c r="I76" i="35"/>
  <c r="H76" i="35"/>
  <c r="E76" i="35"/>
  <c r="I75" i="35"/>
  <c r="H75" i="35"/>
  <c r="G75" i="35"/>
  <c r="D75" i="35"/>
  <c r="J74" i="35"/>
  <c r="I74" i="35"/>
  <c r="H74" i="35"/>
  <c r="E74" i="35"/>
  <c r="J73" i="35"/>
  <c r="I73" i="35"/>
  <c r="H73" i="35"/>
  <c r="E73" i="35"/>
  <c r="J72" i="35"/>
  <c r="I72" i="35"/>
  <c r="H72" i="35"/>
  <c r="E72" i="35"/>
  <c r="J71" i="35"/>
  <c r="I71" i="35"/>
  <c r="H71" i="35"/>
  <c r="E71" i="35"/>
  <c r="J70" i="35"/>
  <c r="I70" i="35"/>
  <c r="H70" i="35"/>
  <c r="E70" i="35"/>
  <c r="I69" i="35"/>
  <c r="G69" i="35"/>
  <c r="G12" i="35" s="1"/>
  <c r="D69" i="35"/>
  <c r="D12" i="35" s="1"/>
  <c r="J68" i="35"/>
  <c r="I68" i="35"/>
  <c r="H68" i="35"/>
  <c r="E68" i="35"/>
  <c r="J67" i="35"/>
  <c r="I67" i="35"/>
  <c r="H67" i="35"/>
  <c r="E67" i="35"/>
  <c r="J66" i="35"/>
  <c r="I66" i="35"/>
  <c r="H66" i="35"/>
  <c r="E66" i="35"/>
  <c r="A66" i="35"/>
  <c r="A67" i="35" s="1"/>
  <c r="A68" i="35" s="1"/>
  <c r="A69" i="35" s="1"/>
  <c r="A70" i="35" s="1"/>
  <c r="A71" i="35" s="1"/>
  <c r="A72" i="35" s="1"/>
  <c r="A73" i="35" s="1"/>
  <c r="A74" i="35" s="1"/>
  <c r="A75" i="35" s="1"/>
  <c r="A76" i="35" s="1"/>
  <c r="J65" i="35"/>
  <c r="I65" i="35"/>
  <c r="H65" i="35"/>
  <c r="E65" i="35"/>
  <c r="J64" i="35"/>
  <c r="I64" i="35"/>
  <c r="H64" i="35"/>
  <c r="E64" i="35"/>
  <c r="G58" i="35"/>
  <c r="F58" i="35"/>
  <c r="C58" i="35"/>
  <c r="J57" i="35"/>
  <c r="K57" i="35" s="1"/>
  <c r="I57" i="35"/>
  <c r="H57" i="35"/>
  <c r="E57" i="35"/>
  <c r="J56" i="35"/>
  <c r="I56" i="35"/>
  <c r="H56" i="35"/>
  <c r="E56" i="35"/>
  <c r="J55" i="35"/>
  <c r="I55" i="35"/>
  <c r="H55" i="35"/>
  <c r="E55" i="35"/>
  <c r="I54" i="35"/>
  <c r="H54" i="35"/>
  <c r="D54" i="35"/>
  <c r="J54" i="35" s="1"/>
  <c r="J53" i="35"/>
  <c r="I53" i="35"/>
  <c r="H53" i="35"/>
  <c r="E53" i="35"/>
  <c r="J52" i="35"/>
  <c r="I52" i="35"/>
  <c r="H52" i="35"/>
  <c r="E52" i="35"/>
  <c r="J51" i="35"/>
  <c r="I51" i="35"/>
  <c r="H51" i="35"/>
  <c r="E51" i="35"/>
  <c r="J50" i="35"/>
  <c r="I50" i="35"/>
  <c r="H50" i="35"/>
  <c r="E50" i="35"/>
  <c r="J49" i="35"/>
  <c r="I49" i="35"/>
  <c r="H49" i="35"/>
  <c r="E49" i="35"/>
  <c r="J48" i="35"/>
  <c r="I48" i="35"/>
  <c r="H48" i="35"/>
  <c r="E48" i="35"/>
  <c r="J47" i="35"/>
  <c r="I47" i="35"/>
  <c r="H47" i="35"/>
  <c r="E47" i="35"/>
  <c r="A47" i="35"/>
  <c r="A48" i="35" s="1"/>
  <c r="A49" i="35" s="1"/>
  <c r="A50" i="35" s="1"/>
  <c r="A51" i="35" s="1"/>
  <c r="A52" i="35" s="1"/>
  <c r="A53" i="35" s="1"/>
  <c r="A54" i="35" s="1"/>
  <c r="A55" i="35" s="1"/>
  <c r="A56" i="35" s="1"/>
  <c r="A57" i="35" s="1"/>
  <c r="J46" i="35"/>
  <c r="K46" i="35" s="1"/>
  <c r="I46" i="35"/>
  <c r="H46" i="35"/>
  <c r="E46" i="35"/>
  <c r="J45" i="35"/>
  <c r="I45" i="35"/>
  <c r="H45" i="35"/>
  <c r="E45" i="35"/>
  <c r="G39" i="35"/>
  <c r="F39" i="35"/>
  <c r="C39" i="35"/>
  <c r="J38" i="35"/>
  <c r="I38" i="35"/>
  <c r="H38" i="35"/>
  <c r="E38" i="35"/>
  <c r="J37" i="35"/>
  <c r="I37" i="35"/>
  <c r="H37" i="35"/>
  <c r="E37" i="35"/>
  <c r="J36" i="35"/>
  <c r="I36" i="35"/>
  <c r="H36" i="35"/>
  <c r="E36" i="35"/>
  <c r="J35" i="35"/>
  <c r="I35" i="35"/>
  <c r="H35" i="35"/>
  <c r="E35" i="35"/>
  <c r="J34" i="35"/>
  <c r="I34" i="35"/>
  <c r="H34" i="35"/>
  <c r="E34" i="35"/>
  <c r="J33" i="35"/>
  <c r="I33" i="35"/>
  <c r="H33" i="35"/>
  <c r="E33" i="35"/>
  <c r="J32" i="35"/>
  <c r="I32" i="35"/>
  <c r="H32" i="35"/>
  <c r="E32" i="35"/>
  <c r="J31" i="35"/>
  <c r="I31" i="35"/>
  <c r="H31" i="35"/>
  <c r="E31" i="35"/>
  <c r="J30" i="35"/>
  <c r="I30" i="35"/>
  <c r="H30" i="35"/>
  <c r="E30" i="35"/>
  <c r="I29" i="35"/>
  <c r="H29" i="35"/>
  <c r="D29" i="35"/>
  <c r="D39" i="35" s="1"/>
  <c r="J28" i="35"/>
  <c r="I28" i="35"/>
  <c r="H28" i="35"/>
  <c r="E28" i="35"/>
  <c r="J27" i="35"/>
  <c r="I27" i="35"/>
  <c r="H27" i="35"/>
  <c r="E27" i="35"/>
  <c r="A27" i="35"/>
  <c r="A28" i="35" s="1"/>
  <c r="A29" i="35" s="1"/>
  <c r="A30" i="35" s="1"/>
  <c r="A31" i="35" s="1"/>
  <c r="A32" i="35" s="1"/>
  <c r="A33" i="35" s="1"/>
  <c r="A34" i="35" s="1"/>
  <c r="A35" i="35" s="1"/>
  <c r="A36" i="35" s="1"/>
  <c r="A37" i="35" s="1"/>
  <c r="A38" i="35" s="1"/>
  <c r="J26" i="35"/>
  <c r="I26" i="35"/>
  <c r="H26" i="35"/>
  <c r="E26" i="35"/>
  <c r="G19" i="35"/>
  <c r="F19" i="35"/>
  <c r="D19" i="35"/>
  <c r="C19" i="35"/>
  <c r="G18" i="35"/>
  <c r="F18" i="35"/>
  <c r="C18" i="35"/>
  <c r="G17" i="35"/>
  <c r="F17" i="35"/>
  <c r="D17" i="35"/>
  <c r="C17" i="35"/>
  <c r="G16" i="35"/>
  <c r="F16" i="35"/>
  <c r="C16" i="35"/>
  <c r="G15" i="35"/>
  <c r="F15" i="35"/>
  <c r="D15" i="35"/>
  <c r="C15" i="35"/>
  <c r="G14" i="35"/>
  <c r="F14" i="35"/>
  <c r="D14" i="35"/>
  <c r="C14" i="35"/>
  <c r="G13" i="35"/>
  <c r="F13" i="35"/>
  <c r="D13" i="35"/>
  <c r="C13" i="35"/>
  <c r="F12" i="35"/>
  <c r="C12" i="35"/>
  <c r="G11" i="35"/>
  <c r="F11" i="35"/>
  <c r="D11" i="35"/>
  <c r="C11" i="35"/>
  <c r="G10" i="35"/>
  <c r="F10" i="35"/>
  <c r="C10" i="35"/>
  <c r="G9" i="35"/>
  <c r="F9" i="35"/>
  <c r="D9" i="35"/>
  <c r="C9" i="35"/>
  <c r="G8" i="35"/>
  <c r="F8" i="35"/>
  <c r="D8" i="35"/>
  <c r="C8" i="35"/>
  <c r="A8" i="35"/>
  <c r="A9" i="35" s="1"/>
  <c r="A10" i="35" s="1"/>
  <c r="A11" i="35" s="1"/>
  <c r="A12" i="35" s="1"/>
  <c r="A13" i="35" s="1"/>
  <c r="A14" i="35" s="1"/>
  <c r="A15" i="35" s="1"/>
  <c r="A16" i="35" s="1"/>
  <c r="A17" i="35" s="1"/>
  <c r="A18" i="35" s="1"/>
  <c r="A19" i="35" s="1"/>
  <c r="G7" i="35"/>
  <c r="F7" i="35"/>
  <c r="D7" i="35"/>
  <c r="C7" i="35"/>
  <c r="P109" i="38"/>
  <c r="O109" i="38"/>
  <c r="N109" i="38"/>
  <c r="K109" i="38"/>
  <c r="J109" i="38"/>
  <c r="I109" i="38"/>
  <c r="H109" i="38"/>
  <c r="Q102" i="38"/>
  <c r="L102" i="38"/>
  <c r="F102" i="38"/>
  <c r="E102" i="38"/>
  <c r="D102" i="38"/>
  <c r="C102" i="38"/>
  <c r="L101" i="38"/>
  <c r="F101" i="38"/>
  <c r="E101" i="38"/>
  <c r="D101" i="38"/>
  <c r="L100" i="38"/>
  <c r="F100" i="38"/>
  <c r="E100" i="38"/>
  <c r="D100" i="38"/>
  <c r="L99" i="38"/>
  <c r="F99" i="38"/>
  <c r="E99" i="38"/>
  <c r="D99" i="38"/>
  <c r="L98" i="38"/>
  <c r="F98" i="38"/>
  <c r="E98" i="38"/>
  <c r="D98" i="38"/>
  <c r="L97" i="38"/>
  <c r="F97" i="38"/>
  <c r="E97" i="38"/>
  <c r="D97" i="38"/>
  <c r="L96" i="38"/>
  <c r="F96" i="38"/>
  <c r="E96" i="38"/>
  <c r="D96" i="38"/>
  <c r="L95" i="38"/>
  <c r="F95" i="38"/>
  <c r="E95" i="38"/>
  <c r="D95" i="38"/>
  <c r="L94" i="38"/>
  <c r="F94" i="38"/>
  <c r="E94" i="38"/>
  <c r="D94" i="38"/>
  <c r="L93" i="38"/>
  <c r="F93" i="38"/>
  <c r="E93" i="38"/>
  <c r="D93" i="38"/>
  <c r="L92" i="38"/>
  <c r="F92" i="38"/>
  <c r="E92" i="38"/>
  <c r="D92" i="38"/>
  <c r="L91" i="38"/>
  <c r="F91" i="38"/>
  <c r="E91" i="38"/>
  <c r="D91" i="38"/>
  <c r="L90" i="38"/>
  <c r="F90" i="38"/>
  <c r="E90" i="38"/>
  <c r="D90" i="38"/>
  <c r="P89" i="38"/>
  <c r="O89" i="38"/>
  <c r="N89" i="38"/>
  <c r="K89" i="38"/>
  <c r="J89" i="38"/>
  <c r="I89" i="38"/>
  <c r="H89" i="38"/>
  <c r="L82" i="38"/>
  <c r="F82" i="38"/>
  <c r="E82" i="38"/>
  <c r="D82" i="38"/>
  <c r="L81" i="38"/>
  <c r="F81" i="38"/>
  <c r="E81" i="38"/>
  <c r="D81" i="38"/>
  <c r="L80" i="38"/>
  <c r="F80" i="38"/>
  <c r="E80" i="38"/>
  <c r="D80" i="38"/>
  <c r="L79" i="38"/>
  <c r="F79" i="38"/>
  <c r="E79" i="38"/>
  <c r="D79" i="38"/>
  <c r="L78" i="38"/>
  <c r="F78" i="38"/>
  <c r="E78" i="38"/>
  <c r="D78" i="38"/>
  <c r="L77" i="38"/>
  <c r="F77" i="38"/>
  <c r="E77" i="38"/>
  <c r="D77" i="38"/>
  <c r="L76" i="38"/>
  <c r="F76" i="38"/>
  <c r="E76" i="38"/>
  <c r="D76" i="38"/>
  <c r="L75" i="38"/>
  <c r="F75" i="38"/>
  <c r="E75" i="38"/>
  <c r="D75" i="38"/>
  <c r="L74" i="38"/>
  <c r="F74" i="38"/>
  <c r="E74" i="38"/>
  <c r="D74" i="38"/>
  <c r="L73" i="38"/>
  <c r="F73" i="38"/>
  <c r="E73" i="38"/>
  <c r="D73" i="38"/>
  <c r="L72" i="38"/>
  <c r="F72" i="38"/>
  <c r="E72" i="38"/>
  <c r="D72" i="38"/>
  <c r="L71" i="38"/>
  <c r="F71" i="38"/>
  <c r="E71" i="38"/>
  <c r="D71" i="38"/>
  <c r="L70" i="38"/>
  <c r="F70" i="38"/>
  <c r="E70" i="38"/>
  <c r="D70" i="38"/>
  <c r="P69" i="38"/>
  <c r="O69" i="38"/>
  <c r="N69" i="38"/>
  <c r="K69" i="38"/>
  <c r="J69" i="38"/>
  <c r="I69" i="38"/>
  <c r="H69" i="38"/>
  <c r="R62" i="38"/>
  <c r="M62" i="38"/>
  <c r="M82" i="38" s="1"/>
  <c r="L62" i="38"/>
  <c r="F62" i="38"/>
  <c r="E62" i="38"/>
  <c r="D62" i="38"/>
  <c r="R61" i="38"/>
  <c r="M61" i="38"/>
  <c r="L61" i="38"/>
  <c r="F61" i="38"/>
  <c r="E61" i="38"/>
  <c r="D61" i="38"/>
  <c r="R60" i="38"/>
  <c r="M60" i="38"/>
  <c r="Q60" i="38" s="1"/>
  <c r="L60" i="38"/>
  <c r="F60" i="38"/>
  <c r="E60" i="38"/>
  <c r="D60" i="38"/>
  <c r="R59" i="38"/>
  <c r="M59" i="38"/>
  <c r="C59" i="38" s="1"/>
  <c r="L59" i="38"/>
  <c r="F59" i="38"/>
  <c r="E59" i="38"/>
  <c r="D59" i="38"/>
  <c r="R58" i="38"/>
  <c r="M58" i="38"/>
  <c r="Q58" i="38" s="1"/>
  <c r="L58" i="38"/>
  <c r="F58" i="38"/>
  <c r="E58" i="38"/>
  <c r="D58" i="38"/>
  <c r="R57" i="38"/>
  <c r="M57" i="38"/>
  <c r="L57" i="38"/>
  <c r="F57" i="38"/>
  <c r="E57" i="38"/>
  <c r="D57" i="38"/>
  <c r="R56" i="38"/>
  <c r="M56" i="38"/>
  <c r="Q56" i="38" s="1"/>
  <c r="L56" i="38"/>
  <c r="F56" i="38"/>
  <c r="E56" i="38"/>
  <c r="D56" i="38"/>
  <c r="R55" i="38"/>
  <c r="M55" i="38"/>
  <c r="C55" i="38" s="1"/>
  <c r="L55" i="38"/>
  <c r="F55" i="38"/>
  <c r="E55" i="38"/>
  <c r="D55" i="38"/>
  <c r="R54" i="38"/>
  <c r="M54" i="38"/>
  <c r="L54" i="38"/>
  <c r="F54" i="38"/>
  <c r="E54" i="38"/>
  <c r="D54" i="38"/>
  <c r="R53" i="38"/>
  <c r="M53" i="38"/>
  <c r="Q53" i="38" s="1"/>
  <c r="L53" i="38"/>
  <c r="F53" i="38"/>
  <c r="E53" i="38"/>
  <c r="D53" i="38"/>
  <c r="R52" i="38"/>
  <c r="M52" i="38"/>
  <c r="Q52" i="38" s="1"/>
  <c r="L52" i="38"/>
  <c r="F52" i="38"/>
  <c r="E52" i="38"/>
  <c r="D52" i="38"/>
  <c r="R51" i="38"/>
  <c r="M51" i="38"/>
  <c r="C51" i="38" s="1"/>
  <c r="L51" i="38"/>
  <c r="F51" i="38"/>
  <c r="E51" i="38"/>
  <c r="D51" i="38"/>
  <c r="R50" i="38"/>
  <c r="M50" i="38"/>
  <c r="M70" i="38" s="1"/>
  <c r="L50" i="38"/>
  <c r="F50" i="38"/>
  <c r="E50" i="38"/>
  <c r="D50" i="38"/>
  <c r="P49" i="38"/>
  <c r="O49" i="38"/>
  <c r="N49" i="38"/>
  <c r="K49" i="38"/>
  <c r="J49" i="38"/>
  <c r="I49" i="38"/>
  <c r="H49" i="38"/>
  <c r="R42" i="38"/>
  <c r="Q42" i="38"/>
  <c r="L42" i="38"/>
  <c r="F42" i="38"/>
  <c r="E42" i="38"/>
  <c r="D42" i="38"/>
  <c r="C42" i="38"/>
  <c r="R41" i="38"/>
  <c r="Q41" i="38"/>
  <c r="L41" i="38"/>
  <c r="F41" i="38"/>
  <c r="E41" i="38"/>
  <c r="D41" i="38"/>
  <c r="C41" i="38"/>
  <c r="R40" i="38"/>
  <c r="Q40" i="38"/>
  <c r="L40" i="38"/>
  <c r="F40" i="38"/>
  <c r="E40" i="38"/>
  <c r="D40" i="38"/>
  <c r="C40" i="38"/>
  <c r="R39" i="38"/>
  <c r="Q39" i="38"/>
  <c r="L39" i="38"/>
  <c r="F39" i="38"/>
  <c r="E39" i="38"/>
  <c r="D39" i="38"/>
  <c r="C39" i="38"/>
  <c r="R38" i="38"/>
  <c r="Q38" i="38"/>
  <c r="L38" i="38"/>
  <c r="F38" i="38"/>
  <c r="E38" i="38"/>
  <c r="D38" i="38"/>
  <c r="C38" i="38"/>
  <c r="R37" i="38"/>
  <c r="Q37" i="38"/>
  <c r="L37" i="38"/>
  <c r="F37" i="38"/>
  <c r="E37" i="38"/>
  <c r="D37" i="38"/>
  <c r="C37" i="38"/>
  <c r="R36" i="38"/>
  <c r="Q36" i="38"/>
  <c r="L36" i="38"/>
  <c r="F36" i="38"/>
  <c r="E36" i="38"/>
  <c r="D36" i="38"/>
  <c r="C36" i="38"/>
  <c r="R35" i="38"/>
  <c r="Q35" i="38"/>
  <c r="L35" i="38"/>
  <c r="F35" i="38"/>
  <c r="E35" i="38"/>
  <c r="D35" i="38"/>
  <c r="C35" i="38"/>
  <c r="R34" i="38"/>
  <c r="Q34" i="38"/>
  <c r="L34" i="38"/>
  <c r="F34" i="38"/>
  <c r="E34" i="38"/>
  <c r="D34" i="38"/>
  <c r="C34" i="38"/>
  <c r="R33" i="38"/>
  <c r="Q33" i="38"/>
  <c r="L33" i="38"/>
  <c r="F33" i="38"/>
  <c r="E33" i="38"/>
  <c r="D33" i="38"/>
  <c r="C33" i="38"/>
  <c r="R32" i="38"/>
  <c r="Q32" i="38"/>
  <c r="L32" i="38"/>
  <c r="F32" i="38"/>
  <c r="E32" i="38"/>
  <c r="D32" i="38"/>
  <c r="C32" i="38"/>
  <c r="R31" i="38"/>
  <c r="Q31" i="38"/>
  <c r="L31" i="38"/>
  <c r="F31" i="38"/>
  <c r="E31" i="38"/>
  <c r="D31" i="38"/>
  <c r="C31" i="38"/>
  <c r="R30" i="38"/>
  <c r="Q30" i="38"/>
  <c r="L30" i="38"/>
  <c r="F30" i="38"/>
  <c r="E30" i="38"/>
  <c r="D30" i="38"/>
  <c r="C30" i="38"/>
  <c r="P29" i="38"/>
  <c r="O29" i="38"/>
  <c r="N29" i="38"/>
  <c r="M29" i="38"/>
  <c r="K29" i="38"/>
  <c r="J29" i="38"/>
  <c r="I29" i="38"/>
  <c r="H29" i="38"/>
  <c r="Q22" i="38"/>
  <c r="N22" i="38"/>
  <c r="L22" i="38"/>
  <c r="I22" i="38"/>
  <c r="C22" i="38"/>
  <c r="Q21" i="38"/>
  <c r="N21" i="38"/>
  <c r="I21" i="38"/>
  <c r="C21" i="38"/>
  <c r="Q20" i="38"/>
  <c r="N20" i="38"/>
  <c r="I20" i="38"/>
  <c r="C20" i="38"/>
  <c r="Q19" i="38"/>
  <c r="N19" i="38"/>
  <c r="I19" i="38"/>
  <c r="C19" i="38"/>
  <c r="Q18" i="38"/>
  <c r="N18" i="38"/>
  <c r="L18" i="38"/>
  <c r="I18" i="38"/>
  <c r="C18" i="38"/>
  <c r="Q17" i="38"/>
  <c r="N17" i="38"/>
  <c r="I17" i="38"/>
  <c r="C17" i="38"/>
  <c r="Q16" i="38"/>
  <c r="N16" i="38"/>
  <c r="I16" i="38"/>
  <c r="C16" i="38"/>
  <c r="Q15" i="38"/>
  <c r="N15" i="38"/>
  <c r="I15" i="38"/>
  <c r="C15" i="38"/>
  <c r="F14" i="38"/>
  <c r="S14" i="38" s="1"/>
  <c r="Q14" i="38"/>
  <c r="N14" i="38"/>
  <c r="L14" i="38"/>
  <c r="I14" i="38"/>
  <c r="C14" i="38"/>
  <c r="Q13" i="38"/>
  <c r="N13" i="38"/>
  <c r="I13" i="38"/>
  <c r="C13" i="38"/>
  <c r="Q12" i="38"/>
  <c r="N12" i="38"/>
  <c r="I12" i="38"/>
  <c r="C12" i="38"/>
  <c r="Q11" i="38"/>
  <c r="N11" i="38"/>
  <c r="I11" i="38"/>
  <c r="C11" i="38"/>
  <c r="Q10" i="38"/>
  <c r="N10" i="38"/>
  <c r="L10" i="38"/>
  <c r="I10" i="38"/>
  <c r="C10" i="38"/>
  <c r="M9" i="38"/>
  <c r="H9" i="38"/>
  <c r="AB114" i="37"/>
  <c r="AA114" i="37"/>
  <c r="P114" i="37"/>
  <c r="O114" i="37"/>
  <c r="D114" i="37"/>
  <c r="Z114" i="37"/>
  <c r="Y114" i="37"/>
  <c r="X114" i="37"/>
  <c r="W114" i="37"/>
  <c r="V114" i="37"/>
  <c r="T114" i="37"/>
  <c r="S114" i="37"/>
  <c r="R114" i="37"/>
  <c r="Q114" i="37"/>
  <c r="N114" i="37"/>
  <c r="M114" i="37"/>
  <c r="L114" i="37"/>
  <c r="K114" i="37"/>
  <c r="J114" i="37"/>
  <c r="I114" i="37"/>
  <c r="AB107" i="37"/>
  <c r="AA107" i="37"/>
  <c r="V107" i="37"/>
  <c r="U107" i="37"/>
  <c r="P107" i="37"/>
  <c r="O107" i="37"/>
  <c r="F107" i="37"/>
  <c r="E107" i="37"/>
  <c r="D107" i="37"/>
  <c r="C107" i="37"/>
  <c r="AB106" i="37"/>
  <c r="AA106" i="37"/>
  <c r="V106" i="37"/>
  <c r="U106" i="37"/>
  <c r="P106" i="37"/>
  <c r="O106" i="37"/>
  <c r="F106" i="37"/>
  <c r="E106" i="37"/>
  <c r="D106" i="37"/>
  <c r="C106" i="37"/>
  <c r="AB105" i="37"/>
  <c r="AA105" i="37"/>
  <c r="V105" i="37"/>
  <c r="U105" i="37"/>
  <c r="P105" i="37"/>
  <c r="O105" i="37"/>
  <c r="F105" i="37"/>
  <c r="E105" i="37"/>
  <c r="D105" i="37"/>
  <c r="C105" i="37"/>
  <c r="AB104" i="37"/>
  <c r="AA104" i="37"/>
  <c r="V104" i="37"/>
  <c r="U104" i="37"/>
  <c r="P104" i="37"/>
  <c r="O104" i="37"/>
  <c r="F104" i="37"/>
  <c r="E104" i="37"/>
  <c r="D104" i="37"/>
  <c r="C104" i="37"/>
  <c r="AB103" i="37"/>
  <c r="AA103" i="37"/>
  <c r="V103" i="37"/>
  <c r="U103" i="37"/>
  <c r="P103" i="37"/>
  <c r="O103" i="37"/>
  <c r="F103" i="37"/>
  <c r="E103" i="37"/>
  <c r="D103" i="37"/>
  <c r="C103" i="37"/>
  <c r="AB102" i="37"/>
  <c r="AA102" i="37"/>
  <c r="V102" i="37"/>
  <c r="U102" i="37"/>
  <c r="P102" i="37"/>
  <c r="O102" i="37"/>
  <c r="F102" i="37"/>
  <c r="E102" i="37"/>
  <c r="D102" i="37"/>
  <c r="C102" i="37"/>
  <c r="AB101" i="37"/>
  <c r="AA101" i="37"/>
  <c r="V101" i="37"/>
  <c r="U101" i="37"/>
  <c r="P101" i="37"/>
  <c r="O101" i="37"/>
  <c r="F101" i="37"/>
  <c r="E101" i="37"/>
  <c r="D101" i="37"/>
  <c r="C101" i="37"/>
  <c r="AB100" i="37"/>
  <c r="AA100" i="37"/>
  <c r="V100" i="37"/>
  <c r="U100" i="37"/>
  <c r="P100" i="37"/>
  <c r="O100" i="37"/>
  <c r="F100" i="37"/>
  <c r="E100" i="37"/>
  <c r="D100" i="37"/>
  <c r="C100" i="37"/>
  <c r="AB99" i="37"/>
  <c r="AA99" i="37"/>
  <c r="V99" i="37"/>
  <c r="U99" i="37"/>
  <c r="P99" i="37"/>
  <c r="O99" i="37"/>
  <c r="F99" i="37"/>
  <c r="E99" i="37"/>
  <c r="D99" i="37"/>
  <c r="C99" i="37"/>
  <c r="AB98" i="37"/>
  <c r="AA98" i="37"/>
  <c r="V98" i="37"/>
  <c r="U98" i="37"/>
  <c r="P98" i="37"/>
  <c r="O98" i="37"/>
  <c r="F98" i="37"/>
  <c r="E98" i="37"/>
  <c r="D98" i="37"/>
  <c r="C98" i="37"/>
  <c r="AB97" i="37"/>
  <c r="AA97" i="37"/>
  <c r="V97" i="37"/>
  <c r="U97" i="37"/>
  <c r="P97" i="37"/>
  <c r="O97" i="37"/>
  <c r="F97" i="37"/>
  <c r="E97" i="37"/>
  <c r="D97" i="37"/>
  <c r="C97" i="37"/>
  <c r="AB96" i="37"/>
  <c r="AA96" i="37"/>
  <c r="V96" i="37"/>
  <c r="U96" i="37"/>
  <c r="P96" i="37"/>
  <c r="O96" i="37"/>
  <c r="F96" i="37"/>
  <c r="E96" i="37"/>
  <c r="D96" i="37"/>
  <c r="C96" i="37"/>
  <c r="AB95" i="37"/>
  <c r="AB93" i="37" s="1"/>
  <c r="AA95" i="37"/>
  <c r="AA93" i="37" s="1"/>
  <c r="V95" i="37"/>
  <c r="U95" i="37"/>
  <c r="P95" i="37"/>
  <c r="P93" i="37" s="1"/>
  <c r="O95" i="37"/>
  <c r="O93" i="37" s="1"/>
  <c r="F95" i="37"/>
  <c r="E95" i="37"/>
  <c r="D95" i="37"/>
  <c r="C95" i="37"/>
  <c r="Z93" i="37"/>
  <c r="Y93" i="37"/>
  <c r="X93" i="37"/>
  <c r="W93" i="37"/>
  <c r="T93" i="37"/>
  <c r="S93" i="37"/>
  <c r="R93" i="37"/>
  <c r="Q93" i="37"/>
  <c r="N93" i="37"/>
  <c r="M93" i="37"/>
  <c r="L93" i="37"/>
  <c r="K93" i="37"/>
  <c r="J93" i="37"/>
  <c r="I93" i="37"/>
  <c r="AB86" i="37"/>
  <c r="AA86" i="37"/>
  <c r="V86" i="37"/>
  <c r="U86" i="37"/>
  <c r="P86" i="37"/>
  <c r="O86" i="37"/>
  <c r="F86" i="37"/>
  <c r="E86" i="37"/>
  <c r="D86" i="37"/>
  <c r="C86" i="37"/>
  <c r="AB85" i="37"/>
  <c r="AA85" i="37"/>
  <c r="V85" i="37"/>
  <c r="U85" i="37"/>
  <c r="P85" i="37"/>
  <c r="O85" i="37"/>
  <c r="F85" i="37"/>
  <c r="E85" i="37"/>
  <c r="D85" i="37"/>
  <c r="C85" i="37"/>
  <c r="AB84" i="37"/>
  <c r="AA84" i="37"/>
  <c r="V84" i="37"/>
  <c r="U84" i="37"/>
  <c r="P84" i="37"/>
  <c r="O84" i="37"/>
  <c r="F84" i="37"/>
  <c r="E84" i="37"/>
  <c r="D84" i="37"/>
  <c r="C84" i="37"/>
  <c r="AB83" i="37"/>
  <c r="AA83" i="37"/>
  <c r="V83" i="37"/>
  <c r="U83" i="37"/>
  <c r="P83" i="37"/>
  <c r="O83" i="37"/>
  <c r="F83" i="37"/>
  <c r="E83" i="37"/>
  <c r="D83" i="37"/>
  <c r="C83" i="37"/>
  <c r="AB82" i="37"/>
  <c r="AA82" i="37"/>
  <c r="V82" i="37"/>
  <c r="U82" i="37"/>
  <c r="P82" i="37"/>
  <c r="O82" i="37"/>
  <c r="F82" i="37"/>
  <c r="E82" i="37"/>
  <c r="D82" i="37"/>
  <c r="C82" i="37"/>
  <c r="AB81" i="37"/>
  <c r="AA81" i="37"/>
  <c r="V81" i="37"/>
  <c r="U81" i="37"/>
  <c r="P81" i="37"/>
  <c r="O81" i="37"/>
  <c r="F81" i="37"/>
  <c r="E81" i="37"/>
  <c r="D81" i="37"/>
  <c r="C81" i="37"/>
  <c r="AB80" i="37"/>
  <c r="AA80" i="37"/>
  <c r="V80" i="37"/>
  <c r="U80" i="37"/>
  <c r="P80" i="37"/>
  <c r="O80" i="37"/>
  <c r="F80" i="37"/>
  <c r="E80" i="37"/>
  <c r="D80" i="37"/>
  <c r="C80" i="37"/>
  <c r="AB79" i="37"/>
  <c r="AA79" i="37"/>
  <c r="V79" i="37"/>
  <c r="U79" i="37"/>
  <c r="P79" i="37"/>
  <c r="O79" i="37"/>
  <c r="F79" i="37"/>
  <c r="E79" i="37"/>
  <c r="D79" i="37"/>
  <c r="C79" i="37"/>
  <c r="AB78" i="37"/>
  <c r="AA78" i="37"/>
  <c r="V78" i="37"/>
  <c r="U78" i="37"/>
  <c r="P78" i="37"/>
  <c r="O78" i="37"/>
  <c r="F78" i="37"/>
  <c r="E78" i="37"/>
  <c r="D78" i="37"/>
  <c r="C78" i="37"/>
  <c r="AB77" i="37"/>
  <c r="AA77" i="37"/>
  <c r="V77" i="37"/>
  <c r="U77" i="37"/>
  <c r="P77" i="37"/>
  <c r="O77" i="37"/>
  <c r="F77" i="37"/>
  <c r="E77" i="37"/>
  <c r="D77" i="37"/>
  <c r="C77" i="37"/>
  <c r="AB76" i="37"/>
  <c r="AA76" i="37"/>
  <c r="V76" i="37"/>
  <c r="U76" i="37"/>
  <c r="P76" i="37"/>
  <c r="O76" i="37"/>
  <c r="F76" i="37"/>
  <c r="E76" i="37"/>
  <c r="D76" i="37"/>
  <c r="C76" i="37"/>
  <c r="AB75" i="37"/>
  <c r="AA75" i="37"/>
  <c r="V75" i="37"/>
  <c r="U75" i="37"/>
  <c r="P75" i="37"/>
  <c r="O75" i="37"/>
  <c r="F75" i="37"/>
  <c r="E75" i="37"/>
  <c r="D75" i="37"/>
  <c r="C75" i="37"/>
  <c r="AB74" i="37"/>
  <c r="AB72" i="37" s="1"/>
  <c r="AA74" i="37"/>
  <c r="AA72" i="37" s="1"/>
  <c r="V74" i="37"/>
  <c r="U74" i="37"/>
  <c r="P74" i="37"/>
  <c r="P72" i="37" s="1"/>
  <c r="O74" i="37"/>
  <c r="O72" i="37" s="1"/>
  <c r="F74" i="37"/>
  <c r="E74" i="37"/>
  <c r="D74" i="37"/>
  <c r="C74" i="37"/>
  <c r="Z72" i="37"/>
  <c r="Y72" i="37"/>
  <c r="X72" i="37"/>
  <c r="W72" i="37"/>
  <c r="T72" i="37"/>
  <c r="S72" i="37"/>
  <c r="R72" i="37"/>
  <c r="Q72" i="37"/>
  <c r="N72" i="37"/>
  <c r="M72" i="37"/>
  <c r="L72" i="37"/>
  <c r="K72" i="37"/>
  <c r="J72" i="37"/>
  <c r="I72" i="37"/>
  <c r="AB65" i="37"/>
  <c r="AA65" i="37"/>
  <c r="V65" i="37"/>
  <c r="U65" i="37"/>
  <c r="P65" i="37"/>
  <c r="O65" i="37"/>
  <c r="F65" i="37"/>
  <c r="E65" i="37"/>
  <c r="D65" i="37"/>
  <c r="C65" i="37"/>
  <c r="AB64" i="37"/>
  <c r="AA64" i="37"/>
  <c r="V64" i="37"/>
  <c r="U64" i="37"/>
  <c r="P64" i="37"/>
  <c r="O64" i="37"/>
  <c r="F64" i="37"/>
  <c r="E64" i="37"/>
  <c r="D64" i="37"/>
  <c r="C64" i="37"/>
  <c r="AB63" i="37"/>
  <c r="AA63" i="37"/>
  <c r="V63" i="37"/>
  <c r="U63" i="37"/>
  <c r="P63" i="37"/>
  <c r="O63" i="37"/>
  <c r="F63" i="37"/>
  <c r="E63" i="37"/>
  <c r="D63" i="37"/>
  <c r="C63" i="37"/>
  <c r="AB62" i="37"/>
  <c r="AA62" i="37"/>
  <c r="V62" i="37"/>
  <c r="U62" i="37"/>
  <c r="P62" i="37"/>
  <c r="O62" i="37"/>
  <c r="F62" i="37"/>
  <c r="E62" i="37"/>
  <c r="D62" i="37"/>
  <c r="C62" i="37"/>
  <c r="AB61" i="37"/>
  <c r="AA61" i="37"/>
  <c r="V61" i="37"/>
  <c r="U61" i="37"/>
  <c r="P61" i="37"/>
  <c r="O61" i="37"/>
  <c r="F61" i="37"/>
  <c r="E61" i="37"/>
  <c r="D61" i="37"/>
  <c r="C61" i="37"/>
  <c r="AB60" i="37"/>
  <c r="AA60" i="37"/>
  <c r="V60" i="37"/>
  <c r="U60" i="37"/>
  <c r="P60" i="37"/>
  <c r="O60" i="37"/>
  <c r="F60" i="37"/>
  <c r="E60" i="37"/>
  <c r="D60" i="37"/>
  <c r="C60" i="37"/>
  <c r="AB59" i="37"/>
  <c r="AA59" i="37"/>
  <c r="V59" i="37"/>
  <c r="U59" i="37"/>
  <c r="P59" i="37"/>
  <c r="O59" i="37"/>
  <c r="F59" i="37"/>
  <c r="E59" i="37"/>
  <c r="D59" i="37"/>
  <c r="C59" i="37"/>
  <c r="AB58" i="37"/>
  <c r="AA58" i="37"/>
  <c r="V58" i="37"/>
  <c r="U58" i="37"/>
  <c r="P58" i="37"/>
  <c r="O58" i="37"/>
  <c r="F58" i="37"/>
  <c r="E58" i="37"/>
  <c r="D58" i="37"/>
  <c r="C58" i="37"/>
  <c r="AB57" i="37"/>
  <c r="AA57" i="37"/>
  <c r="V57" i="37"/>
  <c r="U57" i="37"/>
  <c r="P57" i="37"/>
  <c r="O57" i="37"/>
  <c r="F57" i="37"/>
  <c r="E57" i="37"/>
  <c r="D57" i="37"/>
  <c r="C57" i="37"/>
  <c r="AB56" i="37"/>
  <c r="AA56" i="37"/>
  <c r="V56" i="37"/>
  <c r="U56" i="37"/>
  <c r="P56" i="37"/>
  <c r="O56" i="37"/>
  <c r="F56" i="37"/>
  <c r="E56" i="37"/>
  <c r="D56" i="37"/>
  <c r="C56" i="37"/>
  <c r="AB55" i="37"/>
  <c r="AA55" i="37"/>
  <c r="V55" i="37"/>
  <c r="U55" i="37"/>
  <c r="P55" i="37"/>
  <c r="O55" i="37"/>
  <c r="F55" i="37"/>
  <c r="E55" i="37"/>
  <c r="D55" i="37"/>
  <c r="C55" i="37"/>
  <c r="AB54" i="37"/>
  <c r="AA54" i="37"/>
  <c r="V54" i="37"/>
  <c r="U54" i="37"/>
  <c r="P54" i="37"/>
  <c r="O54" i="37"/>
  <c r="F54" i="37"/>
  <c r="E54" i="37"/>
  <c r="D54" i="37"/>
  <c r="C54" i="37"/>
  <c r="AB53" i="37"/>
  <c r="AB51" i="37" s="1"/>
  <c r="AA53" i="37"/>
  <c r="AA51" i="37" s="1"/>
  <c r="V53" i="37"/>
  <c r="V51" i="37" s="1"/>
  <c r="U53" i="37"/>
  <c r="U51" i="37" s="1"/>
  <c r="P53" i="37"/>
  <c r="O53" i="37"/>
  <c r="F53" i="37"/>
  <c r="E53" i="37"/>
  <c r="D53" i="37"/>
  <c r="C53" i="37"/>
  <c r="Z51" i="37"/>
  <c r="Y51" i="37"/>
  <c r="X51" i="37"/>
  <c r="W51" i="37"/>
  <c r="T51" i="37"/>
  <c r="S51" i="37"/>
  <c r="R51" i="37"/>
  <c r="Q51" i="37"/>
  <c r="N51" i="37"/>
  <c r="M51" i="37"/>
  <c r="L51" i="37"/>
  <c r="K51" i="37"/>
  <c r="J51" i="37"/>
  <c r="I51" i="37"/>
  <c r="AB44" i="37"/>
  <c r="AA44" i="37"/>
  <c r="V44" i="37"/>
  <c r="U44" i="37"/>
  <c r="P44" i="37"/>
  <c r="O44" i="37"/>
  <c r="F44" i="37"/>
  <c r="E44" i="37"/>
  <c r="D44" i="37"/>
  <c r="C44" i="37"/>
  <c r="AB43" i="37"/>
  <c r="AA43" i="37"/>
  <c r="V43" i="37"/>
  <c r="U43" i="37"/>
  <c r="P43" i="37"/>
  <c r="O43" i="37"/>
  <c r="F43" i="37"/>
  <c r="E43" i="37"/>
  <c r="D43" i="37"/>
  <c r="C43" i="37"/>
  <c r="AB42" i="37"/>
  <c r="AA42" i="37"/>
  <c r="V42" i="37"/>
  <c r="U42" i="37"/>
  <c r="P42" i="37"/>
  <c r="O42" i="37"/>
  <c r="F42" i="37"/>
  <c r="E42" i="37"/>
  <c r="D42" i="37"/>
  <c r="C42" i="37"/>
  <c r="AB41" i="37"/>
  <c r="AA41" i="37"/>
  <c r="V41" i="37"/>
  <c r="U41" i="37"/>
  <c r="P41" i="37"/>
  <c r="O41" i="37"/>
  <c r="F41" i="37"/>
  <c r="E41" i="37"/>
  <c r="D41" i="37"/>
  <c r="C41" i="37"/>
  <c r="AB40" i="37"/>
  <c r="AA40" i="37"/>
  <c r="V40" i="37"/>
  <c r="U40" i="37"/>
  <c r="P40" i="37"/>
  <c r="O40" i="37"/>
  <c r="F40" i="37"/>
  <c r="E40" i="37"/>
  <c r="D40" i="37"/>
  <c r="C40" i="37"/>
  <c r="AB39" i="37"/>
  <c r="AA39" i="37"/>
  <c r="V39" i="37"/>
  <c r="U39" i="37"/>
  <c r="P39" i="37"/>
  <c r="O39" i="37"/>
  <c r="F39" i="37"/>
  <c r="E39" i="37"/>
  <c r="D39" i="37"/>
  <c r="C39" i="37"/>
  <c r="BB38" i="37"/>
  <c r="AX38" i="37"/>
  <c r="AJ38" i="37"/>
  <c r="AB38" i="37"/>
  <c r="AA38" i="37"/>
  <c r="V38" i="37"/>
  <c r="U38" i="37"/>
  <c r="P38" i="37"/>
  <c r="O38" i="37"/>
  <c r="F38" i="37"/>
  <c r="E38" i="37"/>
  <c r="D38" i="37"/>
  <c r="C38" i="37"/>
  <c r="AB37" i="37"/>
  <c r="AA37" i="37"/>
  <c r="V37" i="37"/>
  <c r="U37" i="37"/>
  <c r="P37" i="37"/>
  <c r="O37" i="37"/>
  <c r="F37" i="37"/>
  <c r="E37" i="37"/>
  <c r="D37" i="37"/>
  <c r="C37" i="37"/>
  <c r="AB36" i="37"/>
  <c r="AA36" i="37"/>
  <c r="V36" i="37"/>
  <c r="U36" i="37"/>
  <c r="P36" i="37"/>
  <c r="O36" i="37"/>
  <c r="F36" i="37"/>
  <c r="E36" i="37"/>
  <c r="D36" i="37"/>
  <c r="C36" i="37"/>
  <c r="AB35" i="37"/>
  <c r="AA35" i="37"/>
  <c r="V35" i="37"/>
  <c r="U35" i="37"/>
  <c r="P35" i="37"/>
  <c r="O35" i="37"/>
  <c r="F35" i="37"/>
  <c r="E35" i="37"/>
  <c r="D35" i="37"/>
  <c r="C35" i="37"/>
  <c r="AB34" i="37"/>
  <c r="AA34" i="37"/>
  <c r="V34" i="37"/>
  <c r="U34" i="37"/>
  <c r="P34" i="37"/>
  <c r="O34" i="37"/>
  <c r="F34" i="37"/>
  <c r="E34" i="37"/>
  <c r="D34" i="37"/>
  <c r="C34" i="37"/>
  <c r="AB33" i="37"/>
  <c r="AA33" i="37"/>
  <c r="V33" i="37"/>
  <c r="U33" i="37"/>
  <c r="P33" i="37"/>
  <c r="O33" i="37"/>
  <c r="F33" i="37"/>
  <c r="E33" i="37"/>
  <c r="D33" i="37"/>
  <c r="C33" i="37"/>
  <c r="AB32" i="37"/>
  <c r="AA32" i="37"/>
  <c r="V32" i="37"/>
  <c r="V30" i="37" s="1"/>
  <c r="U32" i="37"/>
  <c r="U30" i="37" s="1"/>
  <c r="P32" i="37"/>
  <c r="P30" i="37" s="1"/>
  <c r="O32" i="37"/>
  <c r="O30" i="37" s="1"/>
  <c r="F32" i="37"/>
  <c r="E32" i="37"/>
  <c r="D32" i="37"/>
  <c r="C32" i="37"/>
  <c r="Z30" i="37"/>
  <c r="Y30" i="37"/>
  <c r="X30" i="37"/>
  <c r="W30" i="37"/>
  <c r="T30" i="37"/>
  <c r="S30" i="37"/>
  <c r="R30" i="37"/>
  <c r="Q30" i="37"/>
  <c r="N30" i="37"/>
  <c r="M30" i="37"/>
  <c r="L30" i="37"/>
  <c r="K30" i="37"/>
  <c r="J30" i="37"/>
  <c r="I30" i="37"/>
  <c r="AB23" i="37"/>
  <c r="AA23" i="37"/>
  <c r="U23" i="37"/>
  <c r="P23" i="37"/>
  <c r="D23" i="37"/>
  <c r="C23" i="37"/>
  <c r="AB22" i="37"/>
  <c r="AA22" i="37"/>
  <c r="V22" i="37"/>
  <c r="U22" i="37"/>
  <c r="D22" i="37"/>
  <c r="C22" i="37"/>
  <c r="AB21" i="37"/>
  <c r="AA21" i="37"/>
  <c r="V21" i="37"/>
  <c r="U21" i="37"/>
  <c r="P21" i="37"/>
  <c r="O21" i="37"/>
  <c r="D21" i="37"/>
  <c r="C21" i="37"/>
  <c r="AB20" i="37"/>
  <c r="AA20" i="37"/>
  <c r="V20" i="37"/>
  <c r="U20" i="37"/>
  <c r="P20" i="37"/>
  <c r="O20" i="37"/>
  <c r="D20" i="37"/>
  <c r="C20" i="37"/>
  <c r="AB19" i="37"/>
  <c r="AA19" i="37"/>
  <c r="U19" i="37"/>
  <c r="P19" i="37"/>
  <c r="D19" i="37"/>
  <c r="C19" i="37"/>
  <c r="AB18" i="37"/>
  <c r="AA18" i="37"/>
  <c r="V18" i="37"/>
  <c r="U18" i="37"/>
  <c r="D18" i="37"/>
  <c r="C18" i="37"/>
  <c r="AB17" i="37"/>
  <c r="AA17" i="37"/>
  <c r="V17" i="37"/>
  <c r="U17" i="37"/>
  <c r="P17" i="37"/>
  <c r="O17" i="37"/>
  <c r="D17" i="37"/>
  <c r="C17" i="37"/>
  <c r="AB16" i="37"/>
  <c r="AA16" i="37"/>
  <c r="V16" i="37"/>
  <c r="U16" i="37"/>
  <c r="P16" i="37"/>
  <c r="O16" i="37"/>
  <c r="D16" i="37"/>
  <c r="C16" i="37"/>
  <c r="AB15" i="37"/>
  <c r="AA15" i="37"/>
  <c r="U15" i="37"/>
  <c r="P15" i="37"/>
  <c r="D15" i="37"/>
  <c r="C15" i="37"/>
  <c r="AB14" i="37"/>
  <c r="AA14" i="37"/>
  <c r="V14" i="37"/>
  <c r="U14" i="37"/>
  <c r="D14" i="37"/>
  <c r="C14" i="37"/>
  <c r="AB13" i="37"/>
  <c r="AA13" i="37"/>
  <c r="V13" i="37"/>
  <c r="U13" i="37"/>
  <c r="P13" i="37"/>
  <c r="O13" i="37"/>
  <c r="D13" i="37"/>
  <c r="C13" i="37"/>
  <c r="AB12" i="37"/>
  <c r="AA12" i="37"/>
  <c r="V12" i="37"/>
  <c r="U12" i="37"/>
  <c r="P12" i="37"/>
  <c r="O12" i="37"/>
  <c r="D12" i="37"/>
  <c r="C12" i="37"/>
  <c r="AB11" i="37"/>
  <c r="P11" i="37"/>
  <c r="D11" i="37"/>
  <c r="C11" i="37"/>
  <c r="E10" i="37"/>
  <c r="D10" i="37"/>
  <c r="C10" i="37"/>
  <c r="X9" i="37"/>
  <c r="W9" i="37"/>
  <c r="R9" i="37"/>
  <c r="Q9" i="37"/>
  <c r="L9" i="37"/>
  <c r="K9" i="37"/>
  <c r="I9" i="37"/>
  <c r="K74" i="33"/>
  <c r="L74" i="33" s="1"/>
  <c r="F74" i="33"/>
  <c r="G74" i="33" s="1"/>
  <c r="K73" i="33"/>
  <c r="L73" i="33" s="1"/>
  <c r="F73" i="33"/>
  <c r="G73" i="33" s="1"/>
  <c r="K72" i="33"/>
  <c r="L72" i="33" s="1"/>
  <c r="F72" i="33"/>
  <c r="G72" i="33" s="1"/>
  <c r="K71" i="33"/>
  <c r="L71" i="33" s="1"/>
  <c r="F71" i="33"/>
  <c r="G71" i="33" s="1"/>
  <c r="K70" i="33"/>
  <c r="L70" i="33" s="1"/>
  <c r="F70" i="33"/>
  <c r="G70" i="33" s="1"/>
  <c r="K69" i="33"/>
  <c r="L69" i="33" s="1"/>
  <c r="F69" i="33"/>
  <c r="G69" i="33" s="1"/>
  <c r="K68" i="33"/>
  <c r="L68" i="33" s="1"/>
  <c r="F68" i="33"/>
  <c r="G68" i="33" s="1"/>
  <c r="K67" i="33"/>
  <c r="L67" i="33" s="1"/>
  <c r="F67" i="33"/>
  <c r="G67" i="33" s="1"/>
  <c r="K66" i="33"/>
  <c r="F66" i="33"/>
  <c r="K65" i="33"/>
  <c r="L65" i="33" s="1"/>
  <c r="F65" i="33"/>
  <c r="K64" i="33"/>
  <c r="F64" i="33"/>
  <c r="K63" i="33"/>
  <c r="L63" i="33" s="1"/>
  <c r="F63" i="33"/>
  <c r="K62" i="33"/>
  <c r="L62" i="33" s="1"/>
  <c r="F62" i="33"/>
  <c r="G62" i="33" s="1"/>
  <c r="J60" i="33"/>
  <c r="I60" i="33"/>
  <c r="H60" i="33"/>
  <c r="E60" i="33"/>
  <c r="K56" i="33"/>
  <c r="F56" i="33"/>
  <c r="K55" i="33"/>
  <c r="F55" i="33"/>
  <c r="K54" i="33"/>
  <c r="L54" i="33" s="1"/>
  <c r="F54" i="33"/>
  <c r="K53" i="33"/>
  <c r="L53" i="33" s="1"/>
  <c r="L18" i="33" s="1"/>
  <c r="F53" i="33"/>
  <c r="G53" i="33" s="1"/>
  <c r="G18" i="33" s="1"/>
  <c r="K52" i="33"/>
  <c r="L52" i="33" s="1"/>
  <c r="F52" i="33"/>
  <c r="K51" i="33"/>
  <c r="L51" i="33" s="1"/>
  <c r="L16" i="33" s="1"/>
  <c r="F51" i="33"/>
  <c r="G51" i="33" s="1"/>
  <c r="G16" i="33" s="1"/>
  <c r="K50" i="33"/>
  <c r="L50" i="33" s="1"/>
  <c r="F50" i="33"/>
  <c r="K49" i="33"/>
  <c r="L49" i="33" s="1"/>
  <c r="L14" i="33" s="1"/>
  <c r="F49" i="33"/>
  <c r="K48" i="33"/>
  <c r="L48" i="33" s="1"/>
  <c r="F48" i="33"/>
  <c r="G48" i="33" s="1"/>
  <c r="K47" i="33"/>
  <c r="L47" i="33" s="1"/>
  <c r="L12" i="33" s="1"/>
  <c r="F47" i="33"/>
  <c r="K46" i="33"/>
  <c r="F46" i="33"/>
  <c r="K45" i="33"/>
  <c r="F45" i="33"/>
  <c r="F10" i="33" s="1"/>
  <c r="K44" i="33"/>
  <c r="F44" i="33"/>
  <c r="J43" i="33"/>
  <c r="I43" i="33"/>
  <c r="H43" i="33"/>
  <c r="E43" i="33"/>
  <c r="D43" i="33"/>
  <c r="C43" i="33"/>
  <c r="K37" i="33"/>
  <c r="K36" i="33"/>
  <c r="F36" i="33"/>
  <c r="K35" i="33"/>
  <c r="K34" i="33"/>
  <c r="F34" i="33"/>
  <c r="K33" i="33"/>
  <c r="K15" i="33" s="1"/>
  <c r="K32" i="33"/>
  <c r="K31" i="33"/>
  <c r="F31" i="33"/>
  <c r="K30" i="33"/>
  <c r="K12" i="33" s="1"/>
  <c r="G27" i="33"/>
  <c r="L25" i="33"/>
  <c r="J25" i="33"/>
  <c r="I25" i="33"/>
  <c r="H25" i="33"/>
  <c r="E25" i="33"/>
  <c r="D25" i="33"/>
  <c r="C25" i="33"/>
  <c r="E21" i="33"/>
  <c r="E20" i="33"/>
  <c r="E19" i="33"/>
  <c r="E18" i="33"/>
  <c r="E17" i="33"/>
  <c r="E16" i="33"/>
  <c r="E15" i="33"/>
  <c r="E14" i="33"/>
  <c r="E13" i="33"/>
  <c r="E12" i="33"/>
  <c r="E11" i="33"/>
  <c r="E10" i="33"/>
  <c r="E9" i="33"/>
  <c r="L8" i="33"/>
  <c r="K8" i="33"/>
  <c r="J8" i="33"/>
  <c r="I8" i="33"/>
  <c r="H8" i="33"/>
  <c r="G8" i="33"/>
  <c r="F8" i="33"/>
  <c r="E8" i="33"/>
  <c r="K21" i="32"/>
  <c r="AH21" i="32" s="1"/>
  <c r="D21" i="32"/>
  <c r="I21" i="32" s="1"/>
  <c r="K20" i="32"/>
  <c r="AH20" i="32" s="1"/>
  <c r="D20" i="32"/>
  <c r="I20" i="32" s="1"/>
  <c r="K19" i="32"/>
  <c r="AH19" i="32" s="1"/>
  <c r="D19" i="32"/>
  <c r="I19" i="32" s="1"/>
  <c r="P18" i="32"/>
  <c r="P7" i="32" s="1"/>
  <c r="K18" i="32"/>
  <c r="AH18" i="32" s="1"/>
  <c r="D18" i="32"/>
  <c r="I18" i="32" s="1"/>
  <c r="K17" i="32"/>
  <c r="AH17" i="32" s="1"/>
  <c r="D17" i="32"/>
  <c r="I17" i="32" s="1"/>
  <c r="K16" i="32"/>
  <c r="AH16" i="32" s="1"/>
  <c r="D16" i="32"/>
  <c r="I16" i="32" s="1"/>
  <c r="K15" i="32"/>
  <c r="AH15" i="32" s="1"/>
  <c r="D15" i="32"/>
  <c r="I15" i="32" s="1"/>
  <c r="K14" i="32"/>
  <c r="AH14" i="32" s="1"/>
  <c r="D14" i="32"/>
  <c r="I14" i="32" s="1"/>
  <c r="K13" i="32"/>
  <c r="AH13" i="32" s="1"/>
  <c r="D13" i="32"/>
  <c r="I13" i="32" s="1"/>
  <c r="K12" i="32"/>
  <c r="AH12" i="32" s="1"/>
  <c r="D12" i="32"/>
  <c r="I12" i="32" s="1"/>
  <c r="K11" i="32"/>
  <c r="AH11" i="32" s="1"/>
  <c r="D11" i="32"/>
  <c r="I11" i="32" s="1"/>
  <c r="K10" i="32"/>
  <c r="AH10" i="32" s="1"/>
  <c r="D10" i="32"/>
  <c r="I10" i="32" s="1"/>
  <c r="K9" i="32"/>
  <c r="AH9" i="32" s="1"/>
  <c r="D9" i="32"/>
  <c r="I9" i="32" s="1"/>
  <c r="D8" i="32"/>
  <c r="I8" i="32" s="1"/>
  <c r="AG7" i="32"/>
  <c r="X7" i="32"/>
  <c r="W7" i="32"/>
  <c r="V7" i="32"/>
  <c r="U7" i="32"/>
  <c r="T7" i="32"/>
  <c r="S7" i="32"/>
  <c r="R7" i="32"/>
  <c r="Q7" i="32"/>
  <c r="O7" i="32"/>
  <c r="N7" i="32"/>
  <c r="M7" i="32"/>
  <c r="L7" i="32"/>
  <c r="J7" i="32"/>
  <c r="H7" i="32"/>
  <c r="G7" i="32"/>
  <c r="F7" i="32"/>
  <c r="E7" i="32"/>
  <c r="C7" i="32"/>
  <c r="AB21" i="13"/>
  <c r="AA21" i="13"/>
  <c r="V21" i="13"/>
  <c r="O21" i="13"/>
  <c r="I21" i="13"/>
  <c r="E21" i="28" s="1"/>
  <c r="D21" i="13"/>
  <c r="AC20" i="13"/>
  <c r="AA20" i="13"/>
  <c r="W20" i="13"/>
  <c r="P20" i="13"/>
  <c r="O20" i="13" s="1"/>
  <c r="I20" i="13"/>
  <c r="E20" i="28" s="1"/>
  <c r="E20" i="13"/>
  <c r="D20" i="13" s="1"/>
  <c r="T19" i="13"/>
  <c r="J19" i="28" s="1"/>
  <c r="O19" i="13"/>
  <c r="I19" i="13"/>
  <c r="E19" i="28" s="1"/>
  <c r="D19" i="13"/>
  <c r="AA18" i="13"/>
  <c r="W18" i="13"/>
  <c r="O18" i="13"/>
  <c r="I18" i="13"/>
  <c r="E18" i="28" s="1"/>
  <c r="D18" i="13"/>
  <c r="AD17" i="13"/>
  <c r="W17" i="13"/>
  <c r="O17" i="13"/>
  <c r="I17" i="13"/>
  <c r="E17" i="28" s="1"/>
  <c r="H17" i="13"/>
  <c r="D17" i="13" s="1"/>
  <c r="AD16" i="13"/>
  <c r="AC16" i="13"/>
  <c r="AB16" i="13"/>
  <c r="AA16" i="13"/>
  <c r="X16" i="13"/>
  <c r="O16" i="13"/>
  <c r="I16" i="13"/>
  <c r="E16" i="28" s="1"/>
  <c r="D16" i="13"/>
  <c r="T15" i="13"/>
  <c r="J15" i="28" s="1"/>
  <c r="O15" i="13"/>
  <c r="I15" i="13"/>
  <c r="E15" i="28" s="1"/>
  <c r="D15" i="13"/>
  <c r="AD14" i="13"/>
  <c r="AB14" i="13"/>
  <c r="AA14" i="13"/>
  <c r="Z14" i="13"/>
  <c r="P14" i="13"/>
  <c r="O14" i="13" s="1"/>
  <c r="I14" i="13"/>
  <c r="E14" i="28" s="1"/>
  <c r="E14" i="13"/>
  <c r="D14" i="13" s="1"/>
  <c r="T13" i="13"/>
  <c r="J13" i="28" s="1"/>
  <c r="O13" i="13"/>
  <c r="I13" i="13"/>
  <c r="E13" i="28" s="1"/>
  <c r="D13" i="13"/>
  <c r="AB12" i="13"/>
  <c r="AA12" i="13"/>
  <c r="Y12" i="13"/>
  <c r="X12" i="13"/>
  <c r="W12" i="13"/>
  <c r="O12" i="13"/>
  <c r="I12" i="13"/>
  <c r="E12" i="28" s="1"/>
  <c r="D12" i="13"/>
  <c r="T11" i="13"/>
  <c r="J11" i="28" s="1"/>
  <c r="R11" i="13"/>
  <c r="I11" i="13"/>
  <c r="E11" i="28" s="1"/>
  <c r="G11" i="13"/>
  <c r="G7" i="13" s="1"/>
  <c r="AC10" i="13"/>
  <c r="AB10" i="13"/>
  <c r="AA10" i="13"/>
  <c r="O10" i="13"/>
  <c r="I10" i="13"/>
  <c r="D10" i="13"/>
  <c r="AD9" i="13"/>
  <c r="AB9" i="13"/>
  <c r="Y9" i="13"/>
  <c r="X9" i="13"/>
  <c r="W9" i="13"/>
  <c r="O9" i="13"/>
  <c r="I9" i="13"/>
  <c r="E9" i="28" s="1"/>
  <c r="D9" i="13"/>
  <c r="AJ7" i="13"/>
  <c r="AI7" i="13"/>
  <c r="AF7" i="13"/>
  <c r="AE7" i="13"/>
  <c r="V7" i="13"/>
  <c r="U7" i="13"/>
  <c r="S7" i="13"/>
  <c r="Q7" i="13"/>
  <c r="N7" i="13"/>
  <c r="L7" i="13"/>
  <c r="K7" i="13"/>
  <c r="J7" i="13"/>
  <c r="F7" i="13"/>
  <c r="C7" i="13"/>
  <c r="T21" i="26"/>
  <c r="I21" i="28" s="1"/>
  <c r="O21" i="26"/>
  <c r="I21" i="26"/>
  <c r="D21" i="28" s="1"/>
  <c r="D21" i="26"/>
  <c r="T20" i="26"/>
  <c r="I20" i="28" s="1"/>
  <c r="O20" i="26"/>
  <c r="I20" i="26"/>
  <c r="D20" i="28" s="1"/>
  <c r="D20" i="26"/>
  <c r="T19" i="26"/>
  <c r="I19" i="28" s="1"/>
  <c r="O19" i="26"/>
  <c r="I19" i="26"/>
  <c r="D19" i="28" s="1"/>
  <c r="D19" i="26"/>
  <c r="T18" i="26"/>
  <c r="I18" i="28" s="1"/>
  <c r="O18" i="26"/>
  <c r="I18" i="26"/>
  <c r="D18" i="28" s="1"/>
  <c r="D18" i="26"/>
  <c r="T17" i="26"/>
  <c r="I17" i="28" s="1"/>
  <c r="O17" i="26"/>
  <c r="I17" i="26"/>
  <c r="D17" i="28" s="1"/>
  <c r="D17" i="26"/>
  <c r="T16" i="26"/>
  <c r="I16" i="28" s="1"/>
  <c r="O16" i="26"/>
  <c r="I16" i="26"/>
  <c r="D16" i="28" s="1"/>
  <c r="D16" i="26"/>
  <c r="T15" i="26"/>
  <c r="I15" i="28" s="1"/>
  <c r="O15" i="26"/>
  <c r="I15" i="26"/>
  <c r="D15" i="28" s="1"/>
  <c r="D15" i="26"/>
  <c r="T14" i="26"/>
  <c r="I14" i="28" s="1"/>
  <c r="O14" i="26"/>
  <c r="I14" i="26"/>
  <c r="D14" i="28" s="1"/>
  <c r="D14" i="26"/>
  <c r="T13" i="26"/>
  <c r="I13" i="28" s="1"/>
  <c r="O13" i="26"/>
  <c r="I13" i="26"/>
  <c r="D13" i="28" s="1"/>
  <c r="D13" i="26"/>
  <c r="T12" i="26"/>
  <c r="I12" i="28" s="1"/>
  <c r="O12" i="26"/>
  <c r="I12" i="26"/>
  <c r="D12" i="28" s="1"/>
  <c r="D12" i="26"/>
  <c r="T11" i="26"/>
  <c r="I11" i="28" s="1"/>
  <c r="O11" i="26"/>
  <c r="I11" i="26"/>
  <c r="D11" i="28" s="1"/>
  <c r="D11" i="26"/>
  <c r="T10" i="26"/>
  <c r="I10" i="28" s="1"/>
  <c r="O10" i="26"/>
  <c r="I10" i="26"/>
  <c r="D10" i="28" s="1"/>
  <c r="D10" i="26"/>
  <c r="T9" i="26"/>
  <c r="O9" i="26"/>
  <c r="I9" i="26"/>
  <c r="D9" i="28" s="1"/>
  <c r="D9" i="26"/>
  <c r="AA7" i="26"/>
  <c r="Z7" i="26"/>
  <c r="W7" i="26"/>
  <c r="V7" i="26"/>
  <c r="U7" i="26"/>
  <c r="S7" i="26"/>
  <c r="R7" i="26"/>
  <c r="Q7" i="26"/>
  <c r="P7" i="26"/>
  <c r="N7" i="26"/>
  <c r="L7" i="26"/>
  <c r="K7" i="26"/>
  <c r="J7" i="26"/>
  <c r="H7" i="26"/>
  <c r="G7" i="26"/>
  <c r="F7" i="26"/>
  <c r="E7" i="26"/>
  <c r="C7" i="26"/>
  <c r="J7" i="29"/>
  <c r="C7" i="29"/>
  <c r="P5" i="29"/>
  <c r="I5" i="29"/>
  <c r="A3" i="29"/>
  <c r="D21" i="38" l="1"/>
  <c r="H12" i="35"/>
  <c r="K65" i="35"/>
  <c r="E14" i="34"/>
  <c r="H16" i="34"/>
  <c r="O13" i="30"/>
  <c r="I16" i="34"/>
  <c r="J45" i="27"/>
  <c r="M9" i="26"/>
  <c r="M11" i="26"/>
  <c r="M17" i="26"/>
  <c r="M12" i="13"/>
  <c r="M14" i="13"/>
  <c r="T21" i="13"/>
  <c r="K17" i="33"/>
  <c r="K32" i="35"/>
  <c r="K36" i="34"/>
  <c r="K37" i="34"/>
  <c r="K38" i="34"/>
  <c r="K81" i="34"/>
  <c r="K87" i="34"/>
  <c r="G9" i="30"/>
  <c r="G13" i="30"/>
  <c r="T12" i="13"/>
  <c r="K67" i="34"/>
  <c r="K88" i="34"/>
  <c r="X17" i="26"/>
  <c r="K64" i="34"/>
  <c r="K66" i="34"/>
  <c r="K83" i="34"/>
  <c r="M21" i="13"/>
  <c r="I9" i="35"/>
  <c r="J11" i="35"/>
  <c r="I17" i="35"/>
  <c r="J19" i="35"/>
  <c r="M20" i="13"/>
  <c r="K65" i="34"/>
  <c r="K9" i="30"/>
  <c r="K13" i="33"/>
  <c r="L15" i="33"/>
  <c r="L17" i="33"/>
  <c r="H11" i="35"/>
  <c r="K47" i="34"/>
  <c r="K48" i="34"/>
  <c r="K49" i="34"/>
  <c r="K50" i="34"/>
  <c r="K51" i="34"/>
  <c r="K52" i="34"/>
  <c r="K53" i="34"/>
  <c r="K70" i="34"/>
  <c r="H45" i="27"/>
  <c r="G64" i="27"/>
  <c r="F10" i="30"/>
  <c r="E13" i="30"/>
  <c r="Q29" i="38"/>
  <c r="L89" i="38"/>
  <c r="J8" i="35"/>
  <c r="K54" i="34"/>
  <c r="D8" i="27"/>
  <c r="E8" i="29" s="1"/>
  <c r="F9" i="27"/>
  <c r="G9" i="29" s="1"/>
  <c r="D10" i="27"/>
  <c r="E10" i="29" s="1"/>
  <c r="F11" i="27"/>
  <c r="G11" i="29" s="1"/>
  <c r="D12" i="27"/>
  <c r="E12" i="29" s="1"/>
  <c r="F13" i="27"/>
  <c r="G13" i="29" s="1"/>
  <c r="D14" i="27"/>
  <c r="E14" i="29" s="1"/>
  <c r="I14" i="27"/>
  <c r="F15" i="27"/>
  <c r="G15" i="29" s="1"/>
  <c r="D18" i="27"/>
  <c r="E18" i="29" s="1"/>
  <c r="F19" i="27"/>
  <c r="G19" i="29" s="1"/>
  <c r="D20" i="27"/>
  <c r="E20" i="29" s="1"/>
  <c r="F21" i="27"/>
  <c r="G21" i="29" s="1"/>
  <c r="F45" i="27"/>
  <c r="D45" i="27"/>
  <c r="H37" i="37"/>
  <c r="H38" i="37"/>
  <c r="D89" i="38"/>
  <c r="J7" i="35"/>
  <c r="H8" i="35"/>
  <c r="C49" i="27"/>
  <c r="C51" i="27"/>
  <c r="C53" i="27"/>
  <c r="C55" i="27"/>
  <c r="C57" i="27"/>
  <c r="C59" i="27"/>
  <c r="C8" i="28"/>
  <c r="F20" i="30"/>
  <c r="D93" i="37"/>
  <c r="H96" i="37"/>
  <c r="V93" i="37"/>
  <c r="H97" i="37"/>
  <c r="H100" i="37"/>
  <c r="H101" i="37"/>
  <c r="H102" i="37"/>
  <c r="D16" i="38"/>
  <c r="J17" i="35"/>
  <c r="K45" i="35"/>
  <c r="E69" i="35"/>
  <c r="F18" i="30"/>
  <c r="F21" i="30"/>
  <c r="H41" i="37"/>
  <c r="J15" i="35"/>
  <c r="H16" i="35"/>
  <c r="K33" i="35"/>
  <c r="K37" i="35"/>
  <c r="K38" i="35"/>
  <c r="D94" i="34"/>
  <c r="F13" i="30"/>
  <c r="E14" i="30"/>
  <c r="G16" i="30"/>
  <c r="K17" i="30"/>
  <c r="AC42" i="37"/>
  <c r="AC44" i="37"/>
  <c r="AC64" i="37"/>
  <c r="H14" i="35"/>
  <c r="H15" i="35"/>
  <c r="O12" i="30"/>
  <c r="K13" i="30"/>
  <c r="O17" i="30"/>
  <c r="AB30" i="37"/>
  <c r="G84" i="37"/>
  <c r="G95" i="37"/>
  <c r="G97" i="37"/>
  <c r="G107" i="37"/>
  <c r="G31" i="38"/>
  <c r="G35" i="38"/>
  <c r="G39" i="38"/>
  <c r="F12" i="38"/>
  <c r="S12" i="38" s="1"/>
  <c r="D18" i="38"/>
  <c r="F20" i="38"/>
  <c r="S20" i="38" s="1"/>
  <c r="G55" i="38"/>
  <c r="Q55" i="38"/>
  <c r="D12" i="38"/>
  <c r="F18" i="38"/>
  <c r="S18" i="38" s="1"/>
  <c r="C9" i="38"/>
  <c r="D20" i="38"/>
  <c r="C53" i="38"/>
  <c r="D11" i="38"/>
  <c r="F13" i="38"/>
  <c r="S13" i="38" s="1"/>
  <c r="D15" i="38"/>
  <c r="F19" i="38"/>
  <c r="S19" i="38" s="1"/>
  <c r="F11" i="38"/>
  <c r="S11" i="38" s="1"/>
  <c r="D13" i="38"/>
  <c r="D17" i="38"/>
  <c r="E18" i="38"/>
  <c r="G18" i="38" s="1"/>
  <c r="D19" i="38"/>
  <c r="F10" i="37"/>
  <c r="F16" i="37"/>
  <c r="H16" i="37" s="1"/>
  <c r="Y9" i="37"/>
  <c r="AA9" i="37" s="1"/>
  <c r="G75" i="37"/>
  <c r="G76" i="37"/>
  <c r="G83" i="37"/>
  <c r="C93" i="37"/>
  <c r="G98" i="37"/>
  <c r="E114" i="37"/>
  <c r="H81" i="37"/>
  <c r="H84" i="37"/>
  <c r="F114" i="37"/>
  <c r="AC39" i="37"/>
  <c r="AC43" i="37"/>
  <c r="H55" i="37"/>
  <c r="AC78" i="37"/>
  <c r="AC80" i="37"/>
  <c r="AC82" i="37"/>
  <c r="AC84" i="37"/>
  <c r="F25" i="33"/>
  <c r="F18" i="33"/>
  <c r="M19" i="26"/>
  <c r="F13" i="33"/>
  <c r="F16" i="33"/>
  <c r="K18" i="33"/>
  <c r="G44" i="33"/>
  <c r="G9" i="33" s="1"/>
  <c r="F9" i="33"/>
  <c r="G46" i="33"/>
  <c r="F11" i="33"/>
  <c r="G50" i="33"/>
  <c r="G15" i="33" s="1"/>
  <c r="F15" i="33"/>
  <c r="G52" i="33"/>
  <c r="G17" i="33" s="1"/>
  <c r="F17" i="33"/>
  <c r="G54" i="33"/>
  <c r="G19" i="33" s="1"/>
  <c r="F19" i="33"/>
  <c r="G56" i="33"/>
  <c r="G21" i="33" s="1"/>
  <c r="F21" i="33"/>
  <c r="F12" i="37"/>
  <c r="H12" i="37" s="1"/>
  <c r="AC35" i="37"/>
  <c r="AC79" i="37"/>
  <c r="AC83" i="37"/>
  <c r="D14" i="38"/>
  <c r="D22" i="38"/>
  <c r="G30" i="38"/>
  <c r="C29" i="38"/>
  <c r="G34" i="38"/>
  <c r="G38" i="38"/>
  <c r="G42" i="38"/>
  <c r="C50" i="38"/>
  <c r="G50" i="38" s="1"/>
  <c r="Q51" i="38"/>
  <c r="G53" i="38"/>
  <c r="C60" i="38"/>
  <c r="G60" i="38" s="1"/>
  <c r="F69" i="38"/>
  <c r="I7" i="35"/>
  <c r="G20" i="35"/>
  <c r="J13" i="35"/>
  <c r="H18" i="35"/>
  <c r="H19" i="35"/>
  <c r="E29" i="35"/>
  <c r="E39" i="35" s="1"/>
  <c r="E54" i="35"/>
  <c r="E58" i="35" s="1"/>
  <c r="H10" i="34"/>
  <c r="K32" i="34"/>
  <c r="K56" i="34"/>
  <c r="K72" i="34"/>
  <c r="K73" i="34"/>
  <c r="K74" i="34"/>
  <c r="K85" i="34"/>
  <c r="G83" i="27"/>
  <c r="G11" i="30"/>
  <c r="O11" i="30"/>
  <c r="G15" i="30"/>
  <c r="O15" i="30"/>
  <c r="O20" i="30"/>
  <c r="E21" i="30"/>
  <c r="L45" i="33"/>
  <c r="L10" i="33" s="1"/>
  <c r="K10" i="33"/>
  <c r="X10" i="26"/>
  <c r="X11" i="26"/>
  <c r="X12" i="26"/>
  <c r="X13" i="26"/>
  <c r="X14" i="26"/>
  <c r="X15" i="26"/>
  <c r="T9" i="13"/>
  <c r="AG9" i="13" s="1"/>
  <c r="Y7" i="13"/>
  <c r="M19" i="13"/>
  <c r="K16" i="33"/>
  <c r="K19" i="33"/>
  <c r="L44" i="33"/>
  <c r="L9" i="33" s="1"/>
  <c r="K9" i="33"/>
  <c r="L46" i="33"/>
  <c r="K11" i="33"/>
  <c r="L19" i="33"/>
  <c r="L56" i="33"/>
  <c r="L21" i="33" s="1"/>
  <c r="K21" i="33"/>
  <c r="AA11" i="37"/>
  <c r="G32" i="37"/>
  <c r="C30" i="37"/>
  <c r="AA30" i="37"/>
  <c r="G34" i="37"/>
  <c r="G35" i="37"/>
  <c r="G36" i="37"/>
  <c r="G38" i="37"/>
  <c r="H39" i="37"/>
  <c r="H40" i="37"/>
  <c r="AC58" i="37"/>
  <c r="H60" i="37"/>
  <c r="H61" i="37"/>
  <c r="H65" i="37"/>
  <c r="G77" i="37"/>
  <c r="H103" i="37"/>
  <c r="H104" i="37"/>
  <c r="AC105" i="37"/>
  <c r="H107" i="37"/>
  <c r="U114" i="37"/>
  <c r="E10" i="38"/>
  <c r="G10" i="38" s="1"/>
  <c r="K9" i="38"/>
  <c r="F22" i="38"/>
  <c r="S22" i="38" s="1"/>
  <c r="E89" i="38"/>
  <c r="L109" i="38"/>
  <c r="J9" i="35"/>
  <c r="K9" i="35" s="1"/>
  <c r="I12" i="35"/>
  <c r="I13" i="35"/>
  <c r="I16" i="35"/>
  <c r="K27" i="35"/>
  <c r="K30" i="35"/>
  <c r="K31" i="35"/>
  <c r="K47" i="35"/>
  <c r="K49" i="35"/>
  <c r="K51" i="35"/>
  <c r="K53" i="35"/>
  <c r="K55" i="35"/>
  <c r="K56" i="35"/>
  <c r="K28" i="34"/>
  <c r="K29" i="34"/>
  <c r="K68" i="34"/>
  <c r="K86" i="34"/>
  <c r="C83" i="27"/>
  <c r="E10" i="30"/>
  <c r="E11" i="30"/>
  <c r="E15" i="30"/>
  <c r="E19" i="30"/>
  <c r="L20" i="30"/>
  <c r="D20" i="30" s="1"/>
  <c r="L55" i="33"/>
  <c r="L20" i="33" s="1"/>
  <c r="K20" i="33"/>
  <c r="X20" i="26"/>
  <c r="X21" i="26"/>
  <c r="M9" i="13"/>
  <c r="M10" i="13"/>
  <c r="AB7" i="13"/>
  <c r="G25" i="33"/>
  <c r="K14" i="33"/>
  <c r="G47" i="33"/>
  <c r="F12" i="33"/>
  <c r="G49" i="33"/>
  <c r="G14" i="33" s="1"/>
  <c r="F14" i="33"/>
  <c r="G55" i="33"/>
  <c r="G20" i="33" s="1"/>
  <c r="F20" i="33"/>
  <c r="J9" i="37"/>
  <c r="F20" i="37"/>
  <c r="H20" i="37" s="1"/>
  <c r="H32" i="37"/>
  <c r="AC34" i="37"/>
  <c r="H35" i="37"/>
  <c r="G55" i="37"/>
  <c r="G57" i="37"/>
  <c r="G58" i="37"/>
  <c r="G59" i="37"/>
  <c r="G61" i="37"/>
  <c r="G62" i="37"/>
  <c r="H74" i="37"/>
  <c r="H75" i="37"/>
  <c r="AC76" i="37"/>
  <c r="H78" i="37"/>
  <c r="H79" i="37"/>
  <c r="H86" i="37"/>
  <c r="AC104" i="37"/>
  <c r="G105" i="37"/>
  <c r="AC106" i="37"/>
  <c r="F10" i="38"/>
  <c r="S10" i="38" s="1"/>
  <c r="N9" i="38"/>
  <c r="E14" i="38"/>
  <c r="G14" i="38" s="1"/>
  <c r="F15" i="38"/>
  <c r="S15" i="38" s="1"/>
  <c r="F16" i="38"/>
  <c r="S16" i="38" s="1"/>
  <c r="M75" i="38"/>
  <c r="M95" i="38" s="1"/>
  <c r="M115" i="38" s="1"/>
  <c r="M135" i="38" s="1"/>
  <c r="F109" i="38"/>
  <c r="D16" i="35"/>
  <c r="J16" i="35" s="1"/>
  <c r="K17" i="35"/>
  <c r="K67" i="35"/>
  <c r="G77" i="35"/>
  <c r="C21" i="34"/>
  <c r="I75" i="34"/>
  <c r="K89" i="34"/>
  <c r="K90" i="34"/>
  <c r="K93" i="34"/>
  <c r="O10" i="30"/>
  <c r="O18" i="30"/>
  <c r="C17" i="28"/>
  <c r="H17" i="29" s="1"/>
  <c r="I9" i="28"/>
  <c r="I7" i="28" s="1"/>
  <c r="T7" i="26"/>
  <c r="V19" i="37"/>
  <c r="F19" i="37"/>
  <c r="X19" i="26"/>
  <c r="E11" i="37"/>
  <c r="G11" i="37" s="1"/>
  <c r="O11" i="37"/>
  <c r="M9" i="37"/>
  <c r="O9" i="37" s="1"/>
  <c r="E15" i="37"/>
  <c r="G15" i="37" s="1"/>
  <c r="O15" i="37"/>
  <c r="F17" i="37"/>
  <c r="E19" i="37"/>
  <c r="G19" i="37" s="1"/>
  <c r="O19" i="37"/>
  <c r="F21" i="37"/>
  <c r="H21" i="37" s="1"/>
  <c r="E23" i="37"/>
  <c r="G23" i="37" s="1"/>
  <c r="O23" i="37"/>
  <c r="H62" i="37"/>
  <c r="AC62" i="37"/>
  <c r="D7" i="28"/>
  <c r="P7" i="13"/>
  <c r="O11" i="13"/>
  <c r="AG11" i="13" s="1"/>
  <c r="R7" i="13"/>
  <c r="AG15" i="13"/>
  <c r="AG19" i="13"/>
  <c r="C9" i="37"/>
  <c r="E14" i="37"/>
  <c r="G14" i="37" s="1"/>
  <c r="O14" i="37"/>
  <c r="E18" i="37"/>
  <c r="G18" i="37" s="1"/>
  <c r="O18" i="37"/>
  <c r="E22" i="37"/>
  <c r="G22" i="37" s="1"/>
  <c r="O22" i="37"/>
  <c r="D30" i="37"/>
  <c r="AC40" i="37"/>
  <c r="L15" i="38"/>
  <c r="E15" i="38"/>
  <c r="G15" i="38" s="1"/>
  <c r="L16" i="38"/>
  <c r="E16" i="38"/>
  <c r="G16" i="38" s="1"/>
  <c r="L17" i="38"/>
  <c r="E17" i="38"/>
  <c r="G17" i="38" s="1"/>
  <c r="Q62" i="38"/>
  <c r="C62" i="38"/>
  <c r="G62" i="38" s="1"/>
  <c r="V11" i="37"/>
  <c r="F11" i="37"/>
  <c r="H11" i="37" s="1"/>
  <c r="T9" i="37"/>
  <c r="V9" i="37" s="1"/>
  <c r="V15" i="37"/>
  <c r="F15" i="37"/>
  <c r="H15" i="37" s="1"/>
  <c r="V23" i="37"/>
  <c r="F23" i="37"/>
  <c r="H23" i="37" s="1"/>
  <c r="X9" i="26"/>
  <c r="H7" i="13"/>
  <c r="F13" i="37"/>
  <c r="D7" i="26"/>
  <c r="M15" i="26"/>
  <c r="X18" i="26"/>
  <c r="E7" i="13"/>
  <c r="D11" i="13"/>
  <c r="M11" i="13" s="1"/>
  <c r="AG13" i="13"/>
  <c r="T16" i="13"/>
  <c r="J16" i="28" s="1"/>
  <c r="H16" i="28" s="1"/>
  <c r="O16" i="29" s="1"/>
  <c r="AD7" i="13"/>
  <c r="G45" i="33"/>
  <c r="F43" i="33"/>
  <c r="U11" i="37"/>
  <c r="S9" i="37"/>
  <c r="U9" i="37" s="1"/>
  <c r="P14" i="37"/>
  <c r="F14" i="37"/>
  <c r="H14" i="37" s="1"/>
  <c r="P18" i="37"/>
  <c r="F18" i="37"/>
  <c r="P22" i="37"/>
  <c r="F22" i="37"/>
  <c r="AC53" i="37"/>
  <c r="F51" i="37"/>
  <c r="C72" i="37"/>
  <c r="E51" i="37"/>
  <c r="AC54" i="37"/>
  <c r="AC57" i="37"/>
  <c r="F17" i="38"/>
  <c r="S17" i="38" s="1"/>
  <c r="L19" i="38"/>
  <c r="E19" i="38"/>
  <c r="G19" i="38" s="1"/>
  <c r="L20" i="38"/>
  <c r="E20" i="38"/>
  <c r="G20" i="38" s="1"/>
  <c r="L21" i="38"/>
  <c r="E21" i="38"/>
  <c r="G21" i="38" s="1"/>
  <c r="C57" i="38"/>
  <c r="G57" i="38" s="1"/>
  <c r="Q57" i="38"/>
  <c r="D69" i="38"/>
  <c r="C47" i="27"/>
  <c r="E45" i="27"/>
  <c r="K10" i="30"/>
  <c r="D10" i="30"/>
  <c r="C10" i="30" s="1"/>
  <c r="O7" i="26"/>
  <c r="M13" i="26"/>
  <c r="X16" i="26"/>
  <c r="AC7" i="13"/>
  <c r="T14" i="13"/>
  <c r="J14" i="28" s="1"/>
  <c r="M15" i="13"/>
  <c r="T20" i="13"/>
  <c r="J20" i="28" s="1"/>
  <c r="H20" i="28" s="1"/>
  <c r="O20" i="29" s="1"/>
  <c r="H7" i="33"/>
  <c r="E12" i="37"/>
  <c r="G12" i="37" s="1"/>
  <c r="E16" i="37"/>
  <c r="G16" i="37" s="1"/>
  <c r="H19" i="37"/>
  <c r="E20" i="37"/>
  <c r="G20" i="37" s="1"/>
  <c r="AC33" i="37"/>
  <c r="H36" i="37"/>
  <c r="AC38" i="37"/>
  <c r="G39" i="37"/>
  <c r="G40" i="37"/>
  <c r="H42" i="37"/>
  <c r="H43" i="37"/>
  <c r="H44" i="37"/>
  <c r="H53" i="37"/>
  <c r="H54" i="37"/>
  <c r="AC56" i="37"/>
  <c r="H59" i="37"/>
  <c r="AC61" i="37"/>
  <c r="G63" i="37"/>
  <c r="G65" i="37"/>
  <c r="AC100" i="37"/>
  <c r="AC102" i="37"/>
  <c r="O9" i="38"/>
  <c r="Q9" i="38" s="1"/>
  <c r="F21" i="38"/>
  <c r="S21" i="38" s="1"/>
  <c r="Q54" i="38"/>
  <c r="M74" i="38"/>
  <c r="Q74" i="38" s="1"/>
  <c r="M81" i="38"/>
  <c r="M101" i="38" s="1"/>
  <c r="M121" i="38" s="1"/>
  <c r="M141" i="38" s="1"/>
  <c r="C61" i="38"/>
  <c r="G61" i="38" s="1"/>
  <c r="Q61" i="38"/>
  <c r="D18" i="35"/>
  <c r="J18" i="35" s="1"/>
  <c r="J75" i="35"/>
  <c r="K75" i="35" s="1"/>
  <c r="E75" i="35"/>
  <c r="H69" i="34"/>
  <c r="G15" i="34"/>
  <c r="H15" i="34" s="1"/>
  <c r="J69" i="34"/>
  <c r="K69" i="34" s="1"/>
  <c r="T18" i="13"/>
  <c r="J18" i="28" s="1"/>
  <c r="H18" i="28" s="1"/>
  <c r="O18" i="29" s="1"/>
  <c r="E13" i="37"/>
  <c r="G13" i="37" s="1"/>
  <c r="E17" i="37"/>
  <c r="G17" i="37" s="1"/>
  <c r="E21" i="37"/>
  <c r="G21" i="37" s="1"/>
  <c r="H33" i="37"/>
  <c r="H34" i="37"/>
  <c r="AC37" i="37"/>
  <c r="G41" i="37"/>
  <c r="G43" i="37"/>
  <c r="G44" i="37"/>
  <c r="G53" i="37"/>
  <c r="G54" i="37"/>
  <c r="O51" i="37"/>
  <c r="P51" i="37"/>
  <c r="H56" i="37"/>
  <c r="H57" i="37"/>
  <c r="H58" i="37"/>
  <c r="AC60" i="37"/>
  <c r="H63" i="37"/>
  <c r="AC74" i="37"/>
  <c r="U72" i="37"/>
  <c r="H77" i="37"/>
  <c r="H98" i="37"/>
  <c r="AC98" i="37"/>
  <c r="L11" i="38"/>
  <c r="E11" i="38"/>
  <c r="G11" i="38" s="1"/>
  <c r="L12" i="38"/>
  <c r="E12" i="38"/>
  <c r="G12" i="38" s="1"/>
  <c r="L13" i="38"/>
  <c r="E13" i="38"/>
  <c r="G13" i="38" s="1"/>
  <c r="M77" i="38"/>
  <c r="Q77" i="38" s="1"/>
  <c r="D75" i="34"/>
  <c r="D9" i="34"/>
  <c r="E9" i="34" s="1"/>
  <c r="H80" i="37"/>
  <c r="G81" i="37"/>
  <c r="H85" i="37"/>
  <c r="H95" i="37"/>
  <c r="AC97" i="37"/>
  <c r="G99" i="37"/>
  <c r="G101" i="37"/>
  <c r="G102" i="37"/>
  <c r="H105" i="37"/>
  <c r="H106" i="37"/>
  <c r="I9" i="38"/>
  <c r="G33" i="38"/>
  <c r="G37" i="38"/>
  <c r="G41" i="38"/>
  <c r="L49" i="38"/>
  <c r="F49" i="38"/>
  <c r="M73" i="38"/>
  <c r="C73" i="38" s="1"/>
  <c r="G73" i="38" s="1"/>
  <c r="M79" i="38"/>
  <c r="M99" i="38" s="1"/>
  <c r="M119" i="38" s="1"/>
  <c r="M139" i="38" s="1"/>
  <c r="G102" i="38"/>
  <c r="E10" i="34"/>
  <c r="E11" i="34"/>
  <c r="E12" i="34"/>
  <c r="K27" i="34"/>
  <c r="E9" i="30"/>
  <c r="F12" i="30"/>
  <c r="J7" i="30"/>
  <c r="F16" i="30"/>
  <c r="G17" i="30"/>
  <c r="E17" i="30"/>
  <c r="O21" i="30"/>
  <c r="H64" i="37"/>
  <c r="AC65" i="37"/>
  <c r="AC75" i="37"/>
  <c r="V72" i="37"/>
  <c r="H76" i="37"/>
  <c r="G79" i="37"/>
  <c r="G80" i="37"/>
  <c r="H82" i="37"/>
  <c r="H83" i="37"/>
  <c r="G85" i="37"/>
  <c r="AC86" i="37"/>
  <c r="AC96" i="37"/>
  <c r="U93" i="37"/>
  <c r="H99" i="37"/>
  <c r="AC101" i="37"/>
  <c r="G103" i="37"/>
  <c r="G106" i="37"/>
  <c r="D10" i="38"/>
  <c r="P9" i="38"/>
  <c r="L29" i="38"/>
  <c r="G32" i="38"/>
  <c r="G36" i="38"/>
  <c r="G40" i="38"/>
  <c r="Q59" i="38"/>
  <c r="L69" i="38"/>
  <c r="M80" i="38"/>
  <c r="M100" i="38" s="1"/>
  <c r="M120" i="38" s="1"/>
  <c r="M140" i="38" s="1"/>
  <c r="D109" i="38"/>
  <c r="J12" i="35"/>
  <c r="J29" i="35"/>
  <c r="K29" i="35" s="1"/>
  <c r="D10" i="35"/>
  <c r="J10" i="35" s="1"/>
  <c r="K34" i="35"/>
  <c r="K35" i="35"/>
  <c r="K36" i="35"/>
  <c r="E77" i="35"/>
  <c r="H69" i="35"/>
  <c r="H77" i="35" s="1"/>
  <c r="E13" i="34"/>
  <c r="E35" i="34"/>
  <c r="D17" i="34"/>
  <c r="E17" i="34" s="1"/>
  <c r="K44" i="34"/>
  <c r="I57" i="34"/>
  <c r="E85" i="34"/>
  <c r="E94" i="34" s="1"/>
  <c r="K91" i="34"/>
  <c r="K92" i="34"/>
  <c r="R7" i="30"/>
  <c r="P9" i="30"/>
  <c r="O9" i="30" s="1"/>
  <c r="H114" i="37"/>
  <c r="D29" i="38"/>
  <c r="D49" i="38"/>
  <c r="M71" i="38"/>
  <c r="C71" i="38" s="1"/>
  <c r="G71" i="38" s="1"/>
  <c r="H10" i="35"/>
  <c r="C20" i="35"/>
  <c r="F21" i="34"/>
  <c r="H20" i="36"/>
  <c r="G47" i="27"/>
  <c r="G49" i="27"/>
  <c r="G51" i="27"/>
  <c r="G53" i="27"/>
  <c r="G55" i="27"/>
  <c r="G57" i="27"/>
  <c r="G59" i="27"/>
  <c r="M7" i="30"/>
  <c r="Q7" i="30"/>
  <c r="F17" i="30"/>
  <c r="G19" i="30"/>
  <c r="O19" i="30"/>
  <c r="K20" i="30"/>
  <c r="I10" i="35"/>
  <c r="I14" i="35"/>
  <c r="I18" i="35"/>
  <c r="K18" i="35" s="1"/>
  <c r="H58" i="35"/>
  <c r="K48" i="35"/>
  <c r="K50" i="35"/>
  <c r="K52" i="35"/>
  <c r="K54" i="35"/>
  <c r="D58" i="35"/>
  <c r="D77" i="35"/>
  <c r="K71" i="35"/>
  <c r="K73" i="35"/>
  <c r="I9" i="34"/>
  <c r="H11" i="34"/>
  <c r="E19" i="34"/>
  <c r="K30" i="34"/>
  <c r="K33" i="34"/>
  <c r="K46" i="34"/>
  <c r="K71" i="34"/>
  <c r="K82" i="34"/>
  <c r="F8" i="27"/>
  <c r="G8" i="29" s="1"/>
  <c r="D9" i="27"/>
  <c r="E9" i="29" s="1"/>
  <c r="F10" i="27"/>
  <c r="G10" i="29" s="1"/>
  <c r="D11" i="27"/>
  <c r="E11" i="29" s="1"/>
  <c r="I11" i="27"/>
  <c r="M11" i="29" s="1"/>
  <c r="F12" i="27"/>
  <c r="G12" i="29" s="1"/>
  <c r="D13" i="27"/>
  <c r="E13" i="29" s="1"/>
  <c r="I13" i="27"/>
  <c r="M13" i="29" s="1"/>
  <c r="F14" i="27"/>
  <c r="G14" i="29" s="1"/>
  <c r="D15" i="27"/>
  <c r="E15" i="29" s="1"/>
  <c r="I15" i="27"/>
  <c r="M15" i="29" s="1"/>
  <c r="F16" i="27"/>
  <c r="G16" i="29" s="1"/>
  <c r="D17" i="27"/>
  <c r="E17" i="29" s="1"/>
  <c r="F18" i="27"/>
  <c r="G18" i="29" s="1"/>
  <c r="D19" i="27"/>
  <c r="E19" i="29" s="1"/>
  <c r="D21" i="27"/>
  <c r="E21" i="29" s="1"/>
  <c r="I21" i="27"/>
  <c r="M21" i="29" s="1"/>
  <c r="G46" i="27"/>
  <c r="G48" i="27"/>
  <c r="G50" i="27"/>
  <c r="G52" i="27"/>
  <c r="G54" i="27"/>
  <c r="G56" i="27"/>
  <c r="G58" i="27"/>
  <c r="H8" i="28"/>
  <c r="O8" i="29" s="1"/>
  <c r="N7" i="30"/>
  <c r="F9" i="30"/>
  <c r="O14" i="30"/>
  <c r="O16" i="30"/>
  <c r="G20" i="30"/>
  <c r="H7" i="35"/>
  <c r="I8" i="35"/>
  <c r="K8" i="35" s="1"/>
  <c r="H9" i="35"/>
  <c r="I11" i="35"/>
  <c r="K11" i="35" s="1"/>
  <c r="H13" i="35"/>
  <c r="J14" i="35"/>
  <c r="K14" i="35" s="1"/>
  <c r="I15" i="35"/>
  <c r="K15" i="35" s="1"/>
  <c r="H17" i="35"/>
  <c r="I19" i="35"/>
  <c r="K19" i="35" s="1"/>
  <c r="H39" i="35"/>
  <c r="K28" i="35"/>
  <c r="I77" i="35"/>
  <c r="J69" i="35"/>
  <c r="K69" i="35" s="1"/>
  <c r="E8" i="34"/>
  <c r="I13" i="34"/>
  <c r="I17" i="34"/>
  <c r="I19" i="34"/>
  <c r="H39" i="34"/>
  <c r="H57" i="34"/>
  <c r="H94" i="34"/>
  <c r="K84" i="34"/>
  <c r="H8" i="27"/>
  <c r="L8" i="29" s="1"/>
  <c r="J9" i="27"/>
  <c r="N9" i="29" s="1"/>
  <c r="H10" i="27"/>
  <c r="L10" i="29" s="1"/>
  <c r="J11" i="27"/>
  <c r="N11" i="29" s="1"/>
  <c r="H12" i="27"/>
  <c r="L12" i="29" s="1"/>
  <c r="J13" i="27"/>
  <c r="N13" i="29" s="1"/>
  <c r="H14" i="27"/>
  <c r="L14" i="29" s="1"/>
  <c r="J15" i="27"/>
  <c r="N15" i="29" s="1"/>
  <c r="H16" i="27"/>
  <c r="L16" i="29" s="1"/>
  <c r="J17" i="27"/>
  <c r="N17" i="29" s="1"/>
  <c r="H18" i="27"/>
  <c r="L18" i="29" s="1"/>
  <c r="J19" i="27"/>
  <c r="N19" i="29" s="1"/>
  <c r="H20" i="27"/>
  <c r="L20" i="29" s="1"/>
  <c r="J21" i="27"/>
  <c r="N21" i="29" s="1"/>
  <c r="C46" i="27"/>
  <c r="C48" i="27"/>
  <c r="C50" i="27"/>
  <c r="C52" i="27"/>
  <c r="C54" i="27"/>
  <c r="C56" i="27"/>
  <c r="C58" i="27"/>
  <c r="C64" i="27"/>
  <c r="F7" i="28"/>
  <c r="G12" i="30"/>
  <c r="K16" i="30"/>
  <c r="E18" i="30"/>
  <c r="I7" i="26"/>
  <c r="H14" i="28"/>
  <c r="O14" i="29" s="1"/>
  <c r="D7" i="13"/>
  <c r="X7" i="13"/>
  <c r="T10" i="13"/>
  <c r="J10" i="28" s="1"/>
  <c r="H10" i="28" s="1"/>
  <c r="O10" i="29" s="1"/>
  <c r="AA7" i="13"/>
  <c r="J12" i="28"/>
  <c r="H12" i="28" s="1"/>
  <c r="O12" i="29" s="1"/>
  <c r="AG12" i="13"/>
  <c r="M16" i="13"/>
  <c r="M17" i="13"/>
  <c r="T17" i="13"/>
  <c r="J17" i="28" s="1"/>
  <c r="W7" i="13"/>
  <c r="M90" i="38"/>
  <c r="M110" i="38" s="1"/>
  <c r="M130" i="38" s="1"/>
  <c r="Q70" i="38"/>
  <c r="C70" i="38"/>
  <c r="G70" i="38" s="1"/>
  <c r="G114" i="37"/>
  <c r="M10" i="26"/>
  <c r="M12" i="26"/>
  <c r="M14" i="26"/>
  <c r="M16" i="26"/>
  <c r="M18" i="26"/>
  <c r="M20" i="26"/>
  <c r="M21" i="26"/>
  <c r="Z7" i="13"/>
  <c r="E10" i="28"/>
  <c r="C10" i="28" s="1"/>
  <c r="H10" i="29" s="1"/>
  <c r="I7" i="13"/>
  <c r="M13" i="13"/>
  <c r="M18" i="13"/>
  <c r="J21" i="28"/>
  <c r="H21" i="28" s="1"/>
  <c r="O21" i="29" s="1"/>
  <c r="AG21" i="13"/>
  <c r="AG14" i="13"/>
  <c r="C7" i="33"/>
  <c r="L64" i="33"/>
  <c r="N9" i="37"/>
  <c r="P9" i="37" s="1"/>
  <c r="Z9" i="37"/>
  <c r="AB9" i="37" s="1"/>
  <c r="E30" i="37"/>
  <c r="AC32" i="37"/>
  <c r="AC36" i="37"/>
  <c r="AC41" i="37"/>
  <c r="C51" i="37"/>
  <c r="AC55" i="37"/>
  <c r="AC59" i="37"/>
  <c r="AC63" i="37"/>
  <c r="D72" i="37"/>
  <c r="AC77" i="37"/>
  <c r="AC81" i="37"/>
  <c r="AC85" i="37"/>
  <c r="E93" i="37"/>
  <c r="AC95" i="37"/>
  <c r="AC99" i="37"/>
  <c r="AC103" i="37"/>
  <c r="AC107" i="37"/>
  <c r="E22" i="38"/>
  <c r="G22" i="38" s="1"/>
  <c r="G51" i="38"/>
  <c r="E69" i="38"/>
  <c r="Q81" i="38"/>
  <c r="F30" i="37"/>
  <c r="G33" i="37"/>
  <c r="G37" i="37"/>
  <c r="G42" i="37"/>
  <c r="D51" i="37"/>
  <c r="G56" i="37"/>
  <c r="G60" i="37"/>
  <c r="G64" i="37"/>
  <c r="E72" i="37"/>
  <c r="G74" i="37"/>
  <c r="G72" i="37" s="1"/>
  <c r="G78" i="37"/>
  <c r="G82" i="37"/>
  <c r="G86" i="37"/>
  <c r="F93" i="37"/>
  <c r="G96" i="37"/>
  <c r="G93" i="37" s="1"/>
  <c r="G100" i="37"/>
  <c r="G104" i="37"/>
  <c r="C114" i="37"/>
  <c r="F29" i="38"/>
  <c r="E49" i="38"/>
  <c r="Q50" i="38"/>
  <c r="M49" i="38"/>
  <c r="Q49" i="38" s="1"/>
  <c r="C56" i="38"/>
  <c r="G56" i="38" s="1"/>
  <c r="C58" i="38"/>
  <c r="G58" i="38" s="1"/>
  <c r="C74" i="38"/>
  <c r="G74" i="38" s="1"/>
  <c r="M78" i="38"/>
  <c r="C82" i="38"/>
  <c r="G82" i="38" s="1"/>
  <c r="Q82" i="38"/>
  <c r="K7" i="35"/>
  <c r="D9" i="37"/>
  <c r="F72" i="37"/>
  <c r="J9" i="38"/>
  <c r="L9" i="38" s="1"/>
  <c r="E29" i="38"/>
  <c r="C52" i="38"/>
  <c r="G52" i="38" s="1"/>
  <c r="C54" i="38"/>
  <c r="G54" i="38" s="1"/>
  <c r="G59" i="38"/>
  <c r="M72" i="38"/>
  <c r="F89" i="38"/>
  <c r="E109" i="38"/>
  <c r="M76" i="38"/>
  <c r="E8" i="35"/>
  <c r="E12" i="35"/>
  <c r="E14" i="35"/>
  <c r="E16" i="35"/>
  <c r="E18" i="35"/>
  <c r="F20" i="35"/>
  <c r="K68" i="35"/>
  <c r="K70" i="35"/>
  <c r="K74" i="35"/>
  <c r="K76" i="35"/>
  <c r="J15" i="34"/>
  <c r="K15" i="34" s="1"/>
  <c r="D39" i="34"/>
  <c r="J31" i="34"/>
  <c r="K31" i="34" s="1"/>
  <c r="E31" i="34"/>
  <c r="I58" i="35"/>
  <c r="J58" i="35"/>
  <c r="J77" i="35"/>
  <c r="J7" i="34"/>
  <c r="I8" i="34"/>
  <c r="I11" i="34"/>
  <c r="J12" i="34"/>
  <c r="K12" i="34" s="1"/>
  <c r="I14" i="34"/>
  <c r="J18" i="34"/>
  <c r="K18" i="34" s="1"/>
  <c r="E18" i="34"/>
  <c r="I39" i="34"/>
  <c r="E7" i="35"/>
  <c r="E9" i="35"/>
  <c r="E11" i="35"/>
  <c r="E13" i="35"/>
  <c r="E15" i="35"/>
  <c r="E17" i="35"/>
  <c r="E19" i="35"/>
  <c r="I39" i="35"/>
  <c r="K64" i="35"/>
  <c r="K66" i="35"/>
  <c r="K72" i="35"/>
  <c r="I10" i="34"/>
  <c r="J11" i="34"/>
  <c r="E57" i="34"/>
  <c r="K45" i="34"/>
  <c r="J10" i="34"/>
  <c r="J16" i="34"/>
  <c r="K16" i="34" s="1"/>
  <c r="E16" i="34"/>
  <c r="J20" i="34"/>
  <c r="K20" i="34" s="1"/>
  <c r="E20" i="34"/>
  <c r="G13" i="34"/>
  <c r="G17" i="34"/>
  <c r="G19" i="34"/>
  <c r="J26" i="34"/>
  <c r="J55" i="34"/>
  <c r="K55" i="34" s="1"/>
  <c r="G57" i="34"/>
  <c r="E63" i="34"/>
  <c r="E75" i="34" s="1"/>
  <c r="H68" i="34"/>
  <c r="H71" i="34"/>
  <c r="L7" i="31"/>
  <c r="R9" i="31"/>
  <c r="R7" i="31" s="1"/>
  <c r="K14" i="30"/>
  <c r="D14" i="30"/>
  <c r="J35" i="34"/>
  <c r="K35" i="34" s="1"/>
  <c r="G39" i="34"/>
  <c r="K62" i="34"/>
  <c r="G75" i="34"/>
  <c r="I94" i="34"/>
  <c r="D11" i="30"/>
  <c r="K11" i="30"/>
  <c r="D15" i="30"/>
  <c r="K15" i="30"/>
  <c r="K26" i="35"/>
  <c r="G8" i="34"/>
  <c r="G14" i="34"/>
  <c r="J94" i="34"/>
  <c r="D7" i="31"/>
  <c r="J8" i="31"/>
  <c r="J7" i="31" s="1"/>
  <c r="D12" i="30"/>
  <c r="K12" i="30"/>
  <c r="K18" i="30"/>
  <c r="D18" i="30"/>
  <c r="J63" i="34"/>
  <c r="K63" i="34" s="1"/>
  <c r="D19" i="30"/>
  <c r="K19" i="30"/>
  <c r="E13" i="27"/>
  <c r="F13" i="29" s="1"/>
  <c r="E15" i="27"/>
  <c r="F15" i="29" s="1"/>
  <c r="E17" i="27"/>
  <c r="F17" i="29" s="1"/>
  <c r="E21" i="27"/>
  <c r="F21" i="29" s="1"/>
  <c r="C15" i="28"/>
  <c r="H15" i="29" s="1"/>
  <c r="H15" i="28"/>
  <c r="O15" i="29" s="1"/>
  <c r="C16" i="28"/>
  <c r="H16" i="29" s="1"/>
  <c r="D9" i="30"/>
  <c r="G10" i="30"/>
  <c r="F11" i="30"/>
  <c r="E12" i="30"/>
  <c r="D13" i="30"/>
  <c r="C13" i="30" s="1"/>
  <c r="G14" i="30"/>
  <c r="F15" i="30"/>
  <c r="E16" i="30"/>
  <c r="D17" i="30"/>
  <c r="G18" i="30"/>
  <c r="F19" i="30"/>
  <c r="E20" i="30"/>
  <c r="C20" i="30" s="1"/>
  <c r="D21" i="30"/>
  <c r="C21" i="30" s="1"/>
  <c r="I16" i="27"/>
  <c r="I20" i="27"/>
  <c r="M20" i="29" s="1"/>
  <c r="H17" i="28"/>
  <c r="O17" i="29" s="1"/>
  <c r="C18" i="28"/>
  <c r="H18" i="29" s="1"/>
  <c r="C19" i="28"/>
  <c r="H19" i="29" s="1"/>
  <c r="H19" i="28"/>
  <c r="O19" i="29" s="1"/>
  <c r="C20" i="28"/>
  <c r="H20" i="29" s="1"/>
  <c r="C21" i="28"/>
  <c r="H21" i="29" s="1"/>
  <c r="L7" i="30"/>
  <c r="E8" i="27"/>
  <c r="E12" i="27"/>
  <c r="F12" i="29" s="1"/>
  <c r="E16" i="27"/>
  <c r="F16" i="29" s="1"/>
  <c r="E18" i="27"/>
  <c r="F18" i="29" s="1"/>
  <c r="E20" i="27"/>
  <c r="F20" i="29" s="1"/>
  <c r="I7" i="30"/>
  <c r="C9" i="28"/>
  <c r="H9" i="29" s="1"/>
  <c r="C11" i="28"/>
  <c r="H11" i="29" s="1"/>
  <c r="H11" i="28"/>
  <c r="O11" i="29" s="1"/>
  <c r="C12" i="28"/>
  <c r="H12" i="29" s="1"/>
  <c r="C13" i="28"/>
  <c r="H13" i="29" s="1"/>
  <c r="H13" i="28"/>
  <c r="O13" i="29" s="1"/>
  <c r="C14" i="28"/>
  <c r="H14" i="29" s="1"/>
  <c r="G63" i="33"/>
  <c r="G64" i="33"/>
  <c r="G65" i="33"/>
  <c r="G66" i="33"/>
  <c r="G13" i="33" s="1"/>
  <c r="K43" i="33"/>
  <c r="K25" i="33"/>
  <c r="G43" i="33"/>
  <c r="S18" i="30"/>
  <c r="C39" i="27"/>
  <c r="I26" i="27"/>
  <c r="G31" i="27"/>
  <c r="J26" i="27"/>
  <c r="I12" i="27"/>
  <c r="M12" i="29" s="1"/>
  <c r="F20" i="27"/>
  <c r="G20" i="29" s="1"/>
  <c r="C33" i="27"/>
  <c r="F26" i="27"/>
  <c r="S12" i="30"/>
  <c r="G30" i="27"/>
  <c r="G38" i="27"/>
  <c r="H26" i="27"/>
  <c r="C31" i="27"/>
  <c r="C28" i="27"/>
  <c r="C30" i="27"/>
  <c r="C38" i="27"/>
  <c r="C40" i="27"/>
  <c r="C36" i="27"/>
  <c r="C32" i="27"/>
  <c r="F17" i="27"/>
  <c r="C27" i="27"/>
  <c r="E11" i="27"/>
  <c r="U7" i="30"/>
  <c r="S19" i="30"/>
  <c r="E9" i="27"/>
  <c r="F9" i="29" s="1"/>
  <c r="C35" i="27"/>
  <c r="S21" i="30"/>
  <c r="D7" i="33"/>
  <c r="F60" i="33"/>
  <c r="J7" i="33"/>
  <c r="E7" i="33"/>
  <c r="T7" i="30"/>
  <c r="S9" i="30"/>
  <c r="S13" i="30"/>
  <c r="S17" i="30"/>
  <c r="G27" i="27"/>
  <c r="G39" i="27"/>
  <c r="D16" i="27"/>
  <c r="E16" i="29" s="1"/>
  <c r="C29" i="27"/>
  <c r="C34" i="27"/>
  <c r="C37" i="27"/>
  <c r="D7" i="32"/>
  <c r="D26" i="27"/>
  <c r="H8" i="29"/>
  <c r="G7" i="28"/>
  <c r="E26" i="27"/>
  <c r="S15" i="30"/>
  <c r="S20" i="30"/>
  <c r="E10" i="27"/>
  <c r="E14" i="27"/>
  <c r="E19" i="27"/>
  <c r="S11" i="30"/>
  <c r="S14" i="30"/>
  <c r="S16" i="30"/>
  <c r="S10" i="30"/>
  <c r="K60" i="33"/>
  <c r="L66" i="33"/>
  <c r="L13" i="33" s="1"/>
  <c r="L7" i="28"/>
  <c r="G29" i="27"/>
  <c r="G37" i="27"/>
  <c r="N8" i="29"/>
  <c r="K7" i="32"/>
  <c r="G28" i="27"/>
  <c r="G36" i="27"/>
  <c r="G40" i="27"/>
  <c r="M14" i="29"/>
  <c r="I9" i="27"/>
  <c r="M9" i="29" s="1"/>
  <c r="I10" i="27"/>
  <c r="I19" i="27"/>
  <c r="M19" i="29" s="1"/>
  <c r="V7" i="30"/>
  <c r="I8" i="27"/>
  <c r="I17" i="27"/>
  <c r="M17" i="29" s="1"/>
  <c r="I18" i="27"/>
  <c r="G32" i="27"/>
  <c r="G33" i="27"/>
  <c r="G34" i="27"/>
  <c r="G35" i="27"/>
  <c r="I7" i="33"/>
  <c r="K16" i="35" l="1"/>
  <c r="C75" i="38"/>
  <c r="G75" i="38" s="1"/>
  <c r="J9" i="28"/>
  <c r="H9" i="28" s="1"/>
  <c r="O9" i="29" s="1"/>
  <c r="O7" i="29" s="1"/>
  <c r="C16" i="30"/>
  <c r="P7" i="30"/>
  <c r="C14" i="30"/>
  <c r="E39" i="34"/>
  <c r="H93" i="37"/>
  <c r="AC23" i="37"/>
  <c r="C140" i="38"/>
  <c r="G140" i="38" s="1"/>
  <c r="Q140" i="38"/>
  <c r="J9" i="34"/>
  <c r="K9" i="34" s="1"/>
  <c r="C130" i="38"/>
  <c r="G130" i="38" s="1"/>
  <c r="Q130" i="38"/>
  <c r="C141" i="38"/>
  <c r="G141" i="38" s="1"/>
  <c r="Q141" i="38"/>
  <c r="M160" i="38"/>
  <c r="C135" i="38"/>
  <c r="G135" i="38" s="1"/>
  <c r="Q135" i="38"/>
  <c r="O7" i="30"/>
  <c r="K13" i="35"/>
  <c r="C18" i="30"/>
  <c r="AG18" i="13"/>
  <c r="C139" i="38"/>
  <c r="G139" i="38" s="1"/>
  <c r="Q139" i="38"/>
  <c r="X7" i="26"/>
  <c r="K12" i="35"/>
  <c r="D13" i="29"/>
  <c r="I13" i="29" s="1"/>
  <c r="D15" i="29"/>
  <c r="I15" i="29" s="1"/>
  <c r="G16" i="27"/>
  <c r="F7" i="33"/>
  <c r="C121" i="38"/>
  <c r="G121" i="38" s="1"/>
  <c r="Q121" i="38"/>
  <c r="C81" i="38"/>
  <c r="G81" i="38" s="1"/>
  <c r="C115" i="38"/>
  <c r="G115" i="38" s="1"/>
  <c r="Q115" i="38"/>
  <c r="C120" i="38"/>
  <c r="G120" i="38" s="1"/>
  <c r="Q120" i="38"/>
  <c r="M91" i="38"/>
  <c r="M111" i="38" s="1"/>
  <c r="M131" i="38" s="1"/>
  <c r="C119" i="38"/>
  <c r="G119" i="38" s="1"/>
  <c r="Q119" i="38"/>
  <c r="C110" i="38"/>
  <c r="G110" i="38" s="1"/>
  <c r="Q110" i="38"/>
  <c r="F9" i="38"/>
  <c r="D9" i="38"/>
  <c r="AC14" i="37"/>
  <c r="AC22" i="37"/>
  <c r="H51" i="37"/>
  <c r="H30" i="37"/>
  <c r="H22" i="37"/>
  <c r="C11" i="27"/>
  <c r="C13" i="27"/>
  <c r="K39" i="35"/>
  <c r="Q71" i="38"/>
  <c r="Q75" i="38"/>
  <c r="AC18" i="37"/>
  <c r="AC13" i="37"/>
  <c r="AC12" i="37"/>
  <c r="G12" i="33"/>
  <c r="L7" i="29"/>
  <c r="K7" i="30"/>
  <c r="L43" i="33"/>
  <c r="AG16" i="13"/>
  <c r="K94" i="34"/>
  <c r="J20" i="35"/>
  <c r="AC15" i="37"/>
  <c r="H75" i="34"/>
  <c r="D21" i="34"/>
  <c r="M69" i="38"/>
  <c r="Q69" i="38" s="1"/>
  <c r="G29" i="38"/>
  <c r="O7" i="13"/>
  <c r="C77" i="38"/>
  <c r="G77" i="38" s="1"/>
  <c r="F7" i="30"/>
  <c r="K58" i="35"/>
  <c r="K10" i="35"/>
  <c r="G10" i="33"/>
  <c r="H72" i="37"/>
  <c r="L11" i="33"/>
  <c r="L7" i="33" s="1"/>
  <c r="G11" i="33"/>
  <c r="H7" i="27"/>
  <c r="G14" i="27"/>
  <c r="K12" i="29"/>
  <c r="P12" i="29" s="1"/>
  <c r="K20" i="29"/>
  <c r="P20" i="29" s="1"/>
  <c r="D9" i="29"/>
  <c r="I9" i="29" s="1"/>
  <c r="D21" i="29"/>
  <c r="I21" i="29" s="1"/>
  <c r="K21" i="29"/>
  <c r="P21" i="29" s="1"/>
  <c r="C8" i="27"/>
  <c r="D18" i="29"/>
  <c r="I18" i="29" s="1"/>
  <c r="G20" i="27"/>
  <c r="K11" i="29"/>
  <c r="P11" i="29" s="1"/>
  <c r="M16" i="29"/>
  <c r="K16" i="29" s="1"/>
  <c r="P16" i="29" s="1"/>
  <c r="C12" i="27"/>
  <c r="K13" i="29"/>
  <c r="P13" i="29" s="1"/>
  <c r="C18" i="27"/>
  <c r="K17" i="29"/>
  <c r="P17" i="29" s="1"/>
  <c r="K19" i="29"/>
  <c r="P19" i="29" s="1"/>
  <c r="K15" i="29"/>
  <c r="P15" i="29" s="1"/>
  <c r="G11" i="27"/>
  <c r="K9" i="29"/>
  <c r="P9" i="29" s="1"/>
  <c r="N7" i="29"/>
  <c r="J7" i="27"/>
  <c r="G13" i="27"/>
  <c r="D12" i="29"/>
  <c r="I12" i="29" s="1"/>
  <c r="F8" i="29"/>
  <c r="D8" i="29" s="1"/>
  <c r="D20" i="29"/>
  <c r="I20" i="29" s="1"/>
  <c r="E7" i="30"/>
  <c r="C12" i="30"/>
  <c r="K75" i="34"/>
  <c r="K10" i="34"/>
  <c r="Q80" i="38"/>
  <c r="Q79" i="38"/>
  <c r="I20" i="35"/>
  <c r="M94" i="38"/>
  <c r="M114" i="38" s="1"/>
  <c r="M134" i="38" s="1"/>
  <c r="E9" i="38"/>
  <c r="G9" i="38" s="1"/>
  <c r="AC19" i="37"/>
  <c r="G45" i="27"/>
  <c r="D20" i="35"/>
  <c r="AC16" i="37"/>
  <c r="AC17" i="37"/>
  <c r="K57" i="34"/>
  <c r="C45" i="27"/>
  <c r="H18" i="37"/>
  <c r="J57" i="34"/>
  <c r="M97" i="38"/>
  <c r="M117" i="38" s="1"/>
  <c r="M137" i="38" s="1"/>
  <c r="G15" i="27"/>
  <c r="G21" i="27"/>
  <c r="G7" i="30"/>
  <c r="I21" i="34"/>
  <c r="C80" i="38"/>
  <c r="G80" i="38" s="1"/>
  <c r="C49" i="38"/>
  <c r="G49" i="38" s="1"/>
  <c r="C79" i="38"/>
  <c r="G79" i="38" s="1"/>
  <c r="G51" i="37"/>
  <c r="G30" i="37"/>
  <c r="Q73" i="38"/>
  <c r="F9" i="37"/>
  <c r="E7" i="28"/>
  <c r="M7" i="13"/>
  <c r="G9" i="37"/>
  <c r="H17" i="37"/>
  <c r="H13" i="37"/>
  <c r="AC20" i="37"/>
  <c r="AC21" i="37"/>
  <c r="K14" i="29"/>
  <c r="P14" i="29" s="1"/>
  <c r="H7" i="29"/>
  <c r="C17" i="30"/>
  <c r="E21" i="34"/>
  <c r="K11" i="34"/>
  <c r="K77" i="35"/>
  <c r="E10" i="35"/>
  <c r="E20" i="35" s="1"/>
  <c r="M93" i="38"/>
  <c r="M113" i="38" s="1"/>
  <c r="M133" i="38" s="1"/>
  <c r="M7" i="26"/>
  <c r="AC11" i="37"/>
  <c r="E9" i="37"/>
  <c r="H20" i="35"/>
  <c r="J39" i="35"/>
  <c r="AG20" i="13"/>
  <c r="C7" i="28"/>
  <c r="C15" i="27"/>
  <c r="C21" i="27"/>
  <c r="C9" i="30"/>
  <c r="D7" i="30"/>
  <c r="C11" i="30"/>
  <c r="J75" i="34"/>
  <c r="H19" i="34"/>
  <c r="J19" i="34"/>
  <c r="K19" i="34" s="1"/>
  <c r="K7" i="34"/>
  <c r="M96" i="38"/>
  <c r="M116" i="38" s="1"/>
  <c r="M136" i="38" s="1"/>
  <c r="C76" i="38"/>
  <c r="G76" i="38" s="1"/>
  <c r="Q76" i="38"/>
  <c r="C99" i="38"/>
  <c r="G99" i="38" s="1"/>
  <c r="Q99" i="38"/>
  <c r="C95" i="38"/>
  <c r="G95" i="38" s="1"/>
  <c r="Q95" i="38"/>
  <c r="M98" i="38"/>
  <c r="C78" i="38"/>
  <c r="G78" i="38" s="1"/>
  <c r="Q78" i="38"/>
  <c r="C94" i="38"/>
  <c r="G94" i="38" s="1"/>
  <c r="Q94" i="38"/>
  <c r="AG17" i="13"/>
  <c r="AG10" i="13"/>
  <c r="H17" i="34"/>
  <c r="J17" i="34"/>
  <c r="K17" i="34" s="1"/>
  <c r="C93" i="38"/>
  <c r="G93" i="38" s="1"/>
  <c r="C19" i="30"/>
  <c r="J14" i="34"/>
  <c r="K14" i="34" s="1"/>
  <c r="H14" i="34"/>
  <c r="C15" i="30"/>
  <c r="J13" i="34"/>
  <c r="K13" i="34" s="1"/>
  <c r="H13" i="34"/>
  <c r="C100" i="38"/>
  <c r="G100" i="38" s="1"/>
  <c r="Q100" i="38"/>
  <c r="M92" i="38"/>
  <c r="Q72" i="38"/>
  <c r="C72" i="38"/>
  <c r="G72" i="38" s="1"/>
  <c r="C101" i="38"/>
  <c r="G101" i="38" s="1"/>
  <c r="Q101" i="38"/>
  <c r="C90" i="38"/>
  <c r="Q90" i="38"/>
  <c r="J8" i="34"/>
  <c r="K8" i="34" s="1"/>
  <c r="G21" i="34"/>
  <c r="H8" i="34"/>
  <c r="K26" i="34"/>
  <c r="K39" i="34" s="1"/>
  <c r="J39" i="34"/>
  <c r="Q91" i="38"/>
  <c r="T7" i="13"/>
  <c r="D16" i="29"/>
  <c r="I16" i="29" s="1"/>
  <c r="C16" i="27"/>
  <c r="K7" i="33"/>
  <c r="G60" i="33"/>
  <c r="L60" i="33"/>
  <c r="C9" i="27"/>
  <c r="F11" i="29"/>
  <c r="D11" i="29" s="1"/>
  <c r="I11" i="29" s="1"/>
  <c r="C20" i="27"/>
  <c r="G12" i="27"/>
  <c r="G17" i="27"/>
  <c r="C17" i="27"/>
  <c r="G17" i="29"/>
  <c r="D17" i="29" s="1"/>
  <c r="I17" i="29" s="1"/>
  <c r="F7" i="27"/>
  <c r="S7" i="30"/>
  <c r="C26" i="27"/>
  <c r="G9" i="27"/>
  <c r="G26" i="27"/>
  <c r="I7" i="32"/>
  <c r="D7" i="27"/>
  <c r="E7" i="29"/>
  <c r="C19" i="27"/>
  <c r="F19" i="29"/>
  <c r="D19" i="29" s="1"/>
  <c r="I19" i="29" s="1"/>
  <c r="C14" i="27"/>
  <c r="F14" i="29"/>
  <c r="D14" i="29" s="1"/>
  <c r="I14" i="29" s="1"/>
  <c r="E7" i="27"/>
  <c r="F10" i="29"/>
  <c r="D10" i="29" s="1"/>
  <c r="I10" i="29" s="1"/>
  <c r="C10" i="27"/>
  <c r="AH7" i="32"/>
  <c r="G19" i="27"/>
  <c r="M18" i="29"/>
  <c r="K18" i="29" s="1"/>
  <c r="P18" i="29" s="1"/>
  <c r="G18" i="27"/>
  <c r="G10" i="27"/>
  <c r="M10" i="29"/>
  <c r="K10" i="29" s="1"/>
  <c r="P10" i="29" s="1"/>
  <c r="M8" i="29"/>
  <c r="I7" i="27"/>
  <c r="G8" i="27"/>
  <c r="H7" i="28" l="1"/>
  <c r="C91" i="38"/>
  <c r="G91" i="38" s="1"/>
  <c r="J7" i="28"/>
  <c r="K20" i="35"/>
  <c r="AG7" i="13"/>
  <c r="C136" i="38"/>
  <c r="G136" i="38" s="1"/>
  <c r="Q136" i="38"/>
  <c r="C137" i="38"/>
  <c r="G137" i="38" s="1"/>
  <c r="M156" i="38"/>
  <c r="Q137" i="38"/>
  <c r="C133" i="38"/>
  <c r="G133" i="38" s="1"/>
  <c r="Q133" i="38"/>
  <c r="C131" i="38"/>
  <c r="G131" i="38" s="1"/>
  <c r="Q131" i="38"/>
  <c r="M179" i="38"/>
  <c r="M198" i="38" s="1"/>
  <c r="C160" i="38"/>
  <c r="G160" i="38" s="1"/>
  <c r="Q160" i="38"/>
  <c r="C134" i="38"/>
  <c r="G134" i="38" s="1"/>
  <c r="Q134" i="38"/>
  <c r="G7" i="33"/>
  <c r="O13" i="28"/>
  <c r="L16" i="27"/>
  <c r="P16" i="28"/>
  <c r="L13" i="27"/>
  <c r="O11" i="28"/>
  <c r="L11" i="27"/>
  <c r="C116" i="38"/>
  <c r="G116" i="38" s="1"/>
  <c r="Q116" i="38"/>
  <c r="C117" i="38"/>
  <c r="G117" i="38" s="1"/>
  <c r="Q117" i="38"/>
  <c r="C111" i="38"/>
  <c r="G111" i="38" s="1"/>
  <c r="Q111" i="38"/>
  <c r="C113" i="38"/>
  <c r="G113" i="38" s="1"/>
  <c r="Q113" i="38"/>
  <c r="M153" i="38"/>
  <c r="M159" i="38"/>
  <c r="M89" i="38"/>
  <c r="Q89" i="38" s="1"/>
  <c r="M112" i="38"/>
  <c r="M132" i="38" s="1"/>
  <c r="Q93" i="38"/>
  <c r="Q114" i="38"/>
  <c r="C114" i="38"/>
  <c r="G114" i="38" s="1"/>
  <c r="H9" i="37"/>
  <c r="H21" i="34"/>
  <c r="Q97" i="38"/>
  <c r="C97" i="38"/>
  <c r="G97" i="38" s="1"/>
  <c r="P14" i="28"/>
  <c r="P21" i="28"/>
  <c r="O21" i="28"/>
  <c r="L15" i="27"/>
  <c r="P20" i="28"/>
  <c r="O12" i="28"/>
  <c r="O18" i="28"/>
  <c r="P11" i="28"/>
  <c r="P13" i="28"/>
  <c r="P17" i="28"/>
  <c r="O20" i="28"/>
  <c r="O9" i="28"/>
  <c r="O15" i="28"/>
  <c r="P15" i="28"/>
  <c r="P12" i="28"/>
  <c r="C98" i="38"/>
  <c r="G98" i="38" s="1"/>
  <c r="Q98" i="38"/>
  <c r="L21" i="27"/>
  <c r="C92" i="38"/>
  <c r="G92" i="38" s="1"/>
  <c r="Q92" i="38"/>
  <c r="C96" i="38"/>
  <c r="G96" i="38" s="1"/>
  <c r="Q96" i="38"/>
  <c r="C7" i="30"/>
  <c r="K21" i="34"/>
  <c r="C69" i="38"/>
  <c r="G69" i="38" s="1"/>
  <c r="G90" i="38"/>
  <c r="J21" i="34"/>
  <c r="L17" i="27"/>
  <c r="L12" i="27"/>
  <c r="O16" i="28"/>
  <c r="L9" i="27"/>
  <c r="L20" i="27"/>
  <c r="O17" i="28"/>
  <c r="G7" i="29"/>
  <c r="P9" i="28"/>
  <c r="O14" i="28"/>
  <c r="D7" i="29"/>
  <c r="I8" i="29"/>
  <c r="L14" i="27"/>
  <c r="O19" i="28"/>
  <c r="O10" i="28"/>
  <c r="C7" i="27"/>
  <c r="F7" i="29"/>
  <c r="L10" i="27"/>
  <c r="P10" i="28"/>
  <c r="M7" i="29"/>
  <c r="K8" i="29"/>
  <c r="L18" i="27"/>
  <c r="P18" i="28"/>
  <c r="L8" i="27"/>
  <c r="G7" i="27"/>
  <c r="L19" i="27"/>
  <c r="P19" i="28"/>
  <c r="C198" i="38" l="1"/>
  <c r="G198" i="38" s="1"/>
  <c r="Q198" i="38"/>
  <c r="C179" i="38"/>
  <c r="G179" i="38" s="1"/>
  <c r="Q179" i="38"/>
  <c r="C132" i="38"/>
  <c r="G132" i="38" s="1"/>
  <c r="Q132" i="38"/>
  <c r="C156" i="38"/>
  <c r="G156" i="38" s="1"/>
  <c r="Q156" i="38"/>
  <c r="M175" i="38"/>
  <c r="M194" i="38" s="1"/>
  <c r="C159" i="38"/>
  <c r="G159" i="38" s="1"/>
  <c r="Q159" i="38"/>
  <c r="M151" i="38"/>
  <c r="M154" i="38"/>
  <c r="M152" i="38"/>
  <c r="C112" i="38"/>
  <c r="G112" i="38" s="1"/>
  <c r="Q112" i="38"/>
  <c r="Q153" i="38"/>
  <c r="C153" i="38"/>
  <c r="G153" i="38" s="1"/>
  <c r="M172" i="38"/>
  <c r="M191" i="38" s="1"/>
  <c r="M155" i="38"/>
  <c r="C89" i="38"/>
  <c r="G89" i="38" s="1"/>
  <c r="M109" i="38"/>
  <c r="Q109" i="38" s="1"/>
  <c r="L7" i="27"/>
  <c r="I7" i="29"/>
  <c r="O7" i="28" s="1"/>
  <c r="O8" i="28"/>
  <c r="K7" i="29"/>
  <c r="P8" i="29"/>
  <c r="C191" i="38" l="1"/>
  <c r="Q191" i="38"/>
  <c r="C194" i="38"/>
  <c r="G194" i="38" s="1"/>
  <c r="Q194" i="38"/>
  <c r="C175" i="38"/>
  <c r="G175" i="38" s="1"/>
  <c r="Q175" i="38"/>
  <c r="C172" i="38"/>
  <c r="G172" i="38" s="1"/>
  <c r="Q172" i="38"/>
  <c r="M150" i="38"/>
  <c r="Q152" i="38"/>
  <c r="C152" i="38"/>
  <c r="G152" i="38" s="1"/>
  <c r="M171" i="38"/>
  <c r="M129" i="38"/>
  <c r="Q129" i="38" s="1"/>
  <c r="M170" i="38"/>
  <c r="C151" i="38"/>
  <c r="G151" i="38" s="1"/>
  <c r="Q151" i="38"/>
  <c r="C155" i="38"/>
  <c r="G155" i="38" s="1"/>
  <c r="M174" i="38"/>
  <c r="M193" i="38" s="1"/>
  <c r="Q155" i="38"/>
  <c r="C154" i="38"/>
  <c r="G154" i="38" s="1"/>
  <c r="M173" i="38"/>
  <c r="M192" i="38" s="1"/>
  <c r="Q154" i="38"/>
  <c r="C129" i="38"/>
  <c r="G129" i="38" s="1"/>
  <c r="C109" i="38"/>
  <c r="G109" i="38" s="1"/>
  <c r="P7" i="29"/>
  <c r="P7" i="28" s="1"/>
  <c r="P8" i="28"/>
  <c r="C193" i="38" l="1"/>
  <c r="G193" i="38" s="1"/>
  <c r="Q193" i="38"/>
  <c r="G191" i="38"/>
  <c r="C192" i="38"/>
  <c r="G192" i="38" s="1"/>
  <c r="Q192" i="38"/>
  <c r="M190" i="38"/>
  <c r="Q190" i="38" s="1"/>
  <c r="C171" i="38"/>
  <c r="G171" i="38" s="1"/>
  <c r="Q171" i="38"/>
  <c r="C174" i="38"/>
  <c r="G174" i="38" s="1"/>
  <c r="Q174" i="38"/>
  <c r="C170" i="38"/>
  <c r="Q170" i="38"/>
  <c r="M169" i="38"/>
  <c r="Q169" i="38" s="1"/>
  <c r="C173" i="38"/>
  <c r="G173" i="38" s="1"/>
  <c r="Q173" i="38"/>
  <c r="C150" i="38"/>
  <c r="M149" i="38"/>
  <c r="Q149" i="38" s="1"/>
  <c r="Q150" i="38"/>
  <c r="C190" i="38" l="1"/>
  <c r="G190" i="38" s="1"/>
  <c r="C149" i="38"/>
  <c r="G149" i="38" s="1"/>
  <c r="G150" i="38"/>
  <c r="C169" i="38"/>
  <c r="G169" i="38" s="1"/>
  <c r="G170" i="38"/>
</calcChain>
</file>

<file path=xl/sharedStrings.xml><?xml version="1.0" encoding="utf-8"?>
<sst xmlns="http://schemas.openxmlformats.org/spreadsheetml/2006/main" count="3425" uniqueCount="634">
  <si>
    <t>Т/р</t>
  </si>
  <si>
    <t>"АЁЛЛАР ДАФТАРИ" жамғармаси</t>
  </si>
  <si>
    <t>"ЁШЛАР ДАФТАРИ" жамғармаси</t>
  </si>
  <si>
    <t>Жами</t>
  </si>
  <si>
    <t>Туман ва шаҳарлар номи</t>
  </si>
  <si>
    <t>Шундан</t>
  </si>
  <si>
    <t xml:space="preserve">Урганч шаҳар </t>
  </si>
  <si>
    <t xml:space="preserve">Боғот тумани </t>
  </si>
  <si>
    <t xml:space="preserve">Гурлан тумани </t>
  </si>
  <si>
    <t xml:space="preserve">Қўшкўпир тумани </t>
  </si>
  <si>
    <t xml:space="preserve">Урганч тумани </t>
  </si>
  <si>
    <t xml:space="preserve">Хазорасп тумани </t>
  </si>
  <si>
    <t xml:space="preserve">Хонқа тумани </t>
  </si>
  <si>
    <t xml:space="preserve">Шовот тумани </t>
  </si>
  <si>
    <t xml:space="preserve">Янгиариқ тумани </t>
  </si>
  <si>
    <t>Янгибозор тумани</t>
  </si>
  <si>
    <t>Хива туман</t>
  </si>
  <si>
    <t>Хива шаҳар</t>
  </si>
  <si>
    <t>Тупроққалъа тумани</t>
  </si>
  <si>
    <t>М А Ъ Л У М О Т</t>
  </si>
  <si>
    <t>ОС - 16</t>
  </si>
  <si>
    <t>ОПЕРАТИВНЫЕ СВЕДЕНИЯ ПО ЛИЦЕВЫМ СЧЕТАМ БЮДЖЕТОВ</t>
  </si>
  <si>
    <t>по "ХОРЕЗМСКАЯ ОБЛАСТЬ"</t>
  </si>
  <si>
    <t>для ""Ешлар дафтари"га киритилган ешларни ижтимоий куллаб-кувватлаш жамгармаси"</t>
  </si>
  <si>
    <t>Ед.изм.: сум.тийин</t>
  </si>
  <si>
    <t>КАЗНАЧЕЙСТВО</t>
  </si>
  <si>
    <t>Обороты по синтетическим счетам</t>
  </si>
  <si>
    <t>Счет № 1011000900</t>
  </si>
  <si>
    <t>Счет № 1013050000</t>
  </si>
  <si>
    <t>Счет № 2214721900</t>
  </si>
  <si>
    <t>Счет № 4213332110</t>
  </si>
  <si>
    <t>Счет № 4610000000</t>
  </si>
  <si>
    <t>ПО ДЕБЕТУ СЧЕТА</t>
  </si>
  <si>
    <t>ПО КРЕДИТУ СЧЕТА</t>
  </si>
  <si>
    <t>ХОРЕЗМСКАЯ ОБЛАСТЬ</t>
  </si>
  <si>
    <t>ИТОГО ПО РЕГИОНУ</t>
  </si>
  <si>
    <t>Входящий остаток</t>
  </si>
  <si>
    <t>Обороты</t>
  </si>
  <si>
    <t>Исходящий остаток</t>
  </si>
  <si>
    <t>Итого с начала года</t>
  </si>
  <si>
    <t>Управление по Хорезмской области</t>
  </si>
  <si>
    <t>Отделение по г.Ургенч</t>
  </si>
  <si>
    <t>Отделение по Багатскому району</t>
  </si>
  <si>
    <t>Отделение по Гурленскому району</t>
  </si>
  <si>
    <t>Отделение Кушкупырского района</t>
  </si>
  <si>
    <t>Отделение по Ургенчскому району</t>
  </si>
  <si>
    <t>Отделение по Хазараспскому району</t>
  </si>
  <si>
    <t>Отделение по Ханкинскому району</t>
  </si>
  <si>
    <t>Отделение по Шаватскому району</t>
  </si>
  <si>
    <t>Отделение по Янгиарыкскому району</t>
  </si>
  <si>
    <t>Отделение по Янгибазарскому району</t>
  </si>
  <si>
    <t>Отделение по Хивинскому району</t>
  </si>
  <si>
    <t>Отделение по г.Хива</t>
  </si>
  <si>
    <t>Отделение по Тупроккалинскому району</t>
  </si>
  <si>
    <t>для ""Аеллар дафтари"га киритилган аелларни ижтимоий куллаб-кувватлаш жамгармаси"</t>
  </si>
  <si>
    <t>Счет № 1013051000</t>
  </si>
  <si>
    <t>Ёшлар-3050</t>
  </si>
  <si>
    <t>Аёллар-3051</t>
  </si>
  <si>
    <t>Кайтарилган маблағлар</t>
  </si>
  <si>
    <t>млн.сўмда</t>
  </si>
  <si>
    <t>Счет № 2214821190</t>
  </si>
  <si>
    <t>Счет № 4213441200</t>
  </si>
  <si>
    <t>01.01.2021 йил ҳолатига қолдиқ</t>
  </si>
  <si>
    <t>ПФ-6118</t>
  </si>
  <si>
    <t>Ўтган йилги ишлатилмаган маблағ</t>
  </si>
  <si>
    <t>Жорий йилги харажат</t>
  </si>
  <si>
    <t>Жорий йилги тушум</t>
  </si>
  <si>
    <t>Хомий маблағлари</t>
  </si>
  <si>
    <t>Бюджет маблағлари</t>
  </si>
  <si>
    <t>Бошқа харажатлар</t>
  </si>
  <si>
    <t>Счет № 2214821140</t>
  </si>
  <si>
    <t>01.12.2020 йил ҳолатига қолдиқ</t>
  </si>
  <si>
    <r>
      <rPr>
        <b/>
        <sz val="14"/>
        <color rgb="FFFF0000"/>
        <rFont val="Times New Roman"/>
        <family val="1"/>
        <charset val="204"/>
      </rPr>
      <t xml:space="preserve">01.01.2021 </t>
    </r>
    <r>
      <rPr>
        <b/>
        <sz val="14"/>
        <color theme="1"/>
        <rFont val="Times New Roman"/>
        <family val="1"/>
        <charset val="204"/>
      </rPr>
      <t>йил ҳолатига қолдиқ</t>
    </r>
  </si>
  <si>
    <t xml:space="preserve">Янги йил байрам учун </t>
  </si>
  <si>
    <t xml:space="preserve">Наврўз байрам учун </t>
  </si>
  <si>
    <t>Жами шаклланган маблағлар</t>
  </si>
  <si>
    <t>Ҳомийлик 
маблағлари
 ҳисобидан</t>
  </si>
  <si>
    <t>(млн.сўмда)</t>
  </si>
  <si>
    <t xml:space="preserve">ПФ-6118-сонли 
фармонга асосан </t>
  </si>
  <si>
    <t>Маҳаллий бюджетнинг қўшимча маблағлари</t>
  </si>
  <si>
    <t>Жамғарма тушуми</t>
  </si>
  <si>
    <t>Жамғарма харажати</t>
  </si>
  <si>
    <t>Бир марталик моддий ёрдам (апрел)</t>
  </si>
  <si>
    <t>Бир марталик моддий ёрдам (май)</t>
  </si>
  <si>
    <t>Бир марталик моддий ёрдам (июн)</t>
  </si>
  <si>
    <t>2020 йил давомида Хоразм вилоятида "ЁШЛАР ДАФТАРИ"  ҳамда "АЁЛЛАР ДАФТАРИ" жамғармалари ҳаракати тўғрисида</t>
  </si>
  <si>
    <t>2021 йил давомида Хоразм вилоятида "ЁШЛАР ДАФТАРИ" ҳамда "АЁЛЛАР ДАФТАРИ"   жамғармалари ҳаракати тўғрисида</t>
  </si>
  <si>
    <t>Бир марталик моддий ёрдам (июл)</t>
  </si>
  <si>
    <t xml:space="preserve">Қурбон ҳайити байрами </t>
  </si>
  <si>
    <t>Бошқа харажатлар        (1- этап)</t>
  </si>
  <si>
    <t>Бошқа харажатлар        (2-этап)</t>
  </si>
  <si>
    <t>Бир марталик моддий ёрдам (Август           2-этап)</t>
  </si>
  <si>
    <t>2020-2021 йилларда Хоразм вилоятида "ЁШЛАР ДАФТАРИ"  ва "АЁЛЛАР ДАФТАРИ" жамғармаларига шаклланган маблағлар тўғрисида</t>
  </si>
  <si>
    <t xml:space="preserve">2020-2021 йилларда Хоразм вилоятида "ЁШЛАР ДАФТАРИ" ва "АЁЛЛАР ДАФТАРИ" жамғармаларининг маблағлар ҳисобидан ёшлар ва хотин-қизларга кўрсатилаган моддий ёрдамлар тўғрисида
</t>
  </si>
  <si>
    <t>"Темир дафтари" жамғармаси</t>
  </si>
  <si>
    <t>"Ёшлар дафтари" жамғармаси</t>
  </si>
  <si>
    <t>"Аёллар дафтари" жамғармаси</t>
  </si>
  <si>
    <t>Ўзбекистон Республикаси Президентининг ПФ-6118-сонли фармонига асосан "Темир дафтари", "Ёшлар дафтари"  ва "Аёллар дафтари" жамғармаларига йўналтирилган маблағлар тўғрисидаги</t>
  </si>
  <si>
    <t>2020-йилда</t>
  </si>
  <si>
    <t>2021-йилда</t>
  </si>
  <si>
    <t>2020 йилда ачисления бўлган</t>
  </si>
  <si>
    <t>2021 йилда Ғазна ўтказган</t>
  </si>
  <si>
    <t>2020 йилда "Темир дафтари" жамғармасига йўналтирилиши керак</t>
  </si>
  <si>
    <t>Бир марталик моддий ёрдам (сентябр           2-этап)</t>
  </si>
  <si>
    <t>ЖЕК қарздорлиги учун</t>
  </si>
  <si>
    <t>2021 йилда давомида</t>
  </si>
  <si>
    <t>2020 йилда давомида</t>
  </si>
  <si>
    <t>Учириш мумкин эмас зарур маълумот</t>
  </si>
  <si>
    <t>01.01.2021 йил ҳолатига</t>
  </si>
  <si>
    <r>
      <t xml:space="preserve">"Темир дафтари" жамғармаси </t>
    </r>
    <r>
      <rPr>
        <sz val="18"/>
        <color rgb="FFFF0000"/>
        <rFont val="Times New Roman"/>
        <family val="1"/>
        <charset val="204"/>
      </rPr>
      <t>(16,7%)</t>
    </r>
  </si>
  <si>
    <r>
      <t xml:space="preserve">"Ёшлар дафтари" жамғармаси </t>
    </r>
    <r>
      <rPr>
        <sz val="18"/>
        <color rgb="FFFF0000"/>
        <rFont val="Times New Roman"/>
        <family val="1"/>
        <charset val="204"/>
      </rPr>
      <t>(16,6%)</t>
    </r>
  </si>
  <si>
    <r>
      <t xml:space="preserve">"Аёллар дафтари" жамғармаси </t>
    </r>
    <r>
      <rPr>
        <sz val="18"/>
        <color rgb="FFFF0000"/>
        <rFont val="Times New Roman"/>
        <family val="1"/>
        <charset val="204"/>
      </rPr>
      <t>(16,7%)</t>
    </r>
  </si>
  <si>
    <t>18-31 гача касса</t>
  </si>
  <si>
    <r>
      <rPr>
        <b/>
        <sz val="14"/>
        <color rgb="FFFF0000"/>
        <rFont val="Times New Roman"/>
        <family val="1"/>
        <charset val="204"/>
      </rPr>
      <t xml:space="preserve">01.01.2022 </t>
    </r>
    <r>
      <rPr>
        <b/>
        <sz val="14"/>
        <color theme="1"/>
        <rFont val="Times New Roman"/>
        <family val="1"/>
        <charset val="204"/>
      </rPr>
      <t>йил ҳолатига қолдиқ</t>
    </r>
  </si>
  <si>
    <t>01.01.2022 йил ҳолатига</t>
  </si>
  <si>
    <t>2022 йил давомида Хоразм вилоятида "ЁШЛАР ДАФТАРИ" ҳамда "АЁЛЛАР ДАФТАРИ"   жамғармалари ҳаракати тўғрисида</t>
  </si>
  <si>
    <t>2022 йилда давомида</t>
  </si>
  <si>
    <t>2022-йилда</t>
  </si>
  <si>
    <t>2020-2022 йиллар давомида Хоразм вилоятида "ЁШЛАР ДАФТАРИ"  ҳамда "АЁЛЛАР ДАФТАРИ" жамғармалари ҳаракати тўғрисида</t>
  </si>
  <si>
    <t>2020 йил</t>
  </si>
  <si>
    <t>2021 йил</t>
  </si>
  <si>
    <t>Ҳомийлик ва бошқа</t>
  </si>
  <si>
    <t>Маҳаллий бюджет</t>
  </si>
  <si>
    <t>ПФ-6118-сонли 
фармон</t>
  </si>
  <si>
    <t>2022 йил</t>
  </si>
  <si>
    <t>Счет № 2214291000</t>
  </si>
  <si>
    <t>01.01.2022 йил ҳолатига қолдиқ</t>
  </si>
  <si>
    <t>Вилоят жамғармаси</t>
  </si>
  <si>
    <t>Шундан,</t>
  </si>
  <si>
    <t>2023 йилда давомида</t>
  </si>
  <si>
    <t>01.01.2020 йил ҳолатига қолдиқ</t>
  </si>
  <si>
    <t>2023 йил</t>
  </si>
  <si>
    <t>2023-йилда</t>
  </si>
  <si>
    <t>Счет № 2214354990</t>
  </si>
  <si>
    <r>
      <rPr>
        <b/>
        <sz val="14"/>
        <color rgb="FFFF0000"/>
        <rFont val="Times New Roman"/>
        <family val="1"/>
        <charset val="204"/>
      </rPr>
      <t>01.01.2023</t>
    </r>
    <r>
      <rPr>
        <b/>
        <sz val="14"/>
        <rFont val="Times New Roman"/>
        <family val="1"/>
        <charset val="204"/>
      </rPr>
      <t xml:space="preserve"> йил ҳолатига қолдиқ</t>
    </r>
  </si>
  <si>
    <r>
      <rPr>
        <b/>
        <sz val="14"/>
        <color rgb="FFFF0000"/>
        <rFont val="Times New Roman"/>
        <family val="1"/>
        <charset val="204"/>
      </rPr>
      <t xml:space="preserve">01.01.2023 </t>
    </r>
    <r>
      <rPr>
        <b/>
        <sz val="14"/>
        <color theme="1"/>
        <rFont val="Times New Roman"/>
        <family val="1"/>
        <charset val="204"/>
      </rPr>
      <t>йил ҳоатига қолдиқ</t>
    </r>
  </si>
  <si>
    <t>01.01.2023 йил ҳолатига</t>
  </si>
  <si>
    <t>Хомийлик ва бошқа маблағлар</t>
  </si>
  <si>
    <t>№</t>
  </si>
  <si>
    <t>Туман ва шаҳарлар 
номи</t>
  </si>
  <si>
    <t>Ёшлар  дафтарига</t>
  </si>
  <si>
    <t>Аёллар  дафтарига</t>
  </si>
  <si>
    <t>Хамммаси</t>
  </si>
  <si>
    <t>Режа</t>
  </si>
  <si>
    <t>Ўтказилган</t>
  </si>
  <si>
    <t>Фарқи</t>
  </si>
  <si>
    <t>Урганч шаҳри</t>
  </si>
  <si>
    <t>Боғот тумани</t>
  </si>
  <si>
    <t>Гурлан тумани</t>
  </si>
  <si>
    <t>Қушкупир тумани</t>
  </si>
  <si>
    <t>Ургенч тумани</t>
  </si>
  <si>
    <t>Хазорасп тумани</t>
  </si>
  <si>
    <t>Хонқа тумани</t>
  </si>
  <si>
    <t>Шовот тумани</t>
  </si>
  <si>
    <t>Янгиариқ тумани</t>
  </si>
  <si>
    <t>Хива тумани</t>
  </si>
  <si>
    <t>Хива шаҳри</t>
  </si>
  <si>
    <r>
      <t xml:space="preserve">Туман(шаҳар) маҳаллий бюджет маблағлари ҳисобидан 2020 йил давомида  </t>
    </r>
    <r>
      <rPr>
        <b/>
        <u/>
        <sz val="18"/>
        <color rgb="FFFF0000"/>
        <rFont val="Arial"/>
        <family val="2"/>
        <charset val="204"/>
      </rPr>
      <t>"Ёшлар дафтари",</t>
    </r>
    <r>
      <rPr>
        <b/>
        <sz val="18"/>
        <rFont val="Arial"/>
        <family val="2"/>
        <charset val="204"/>
      </rPr>
      <t xml:space="preserve">  </t>
    </r>
    <r>
      <rPr>
        <b/>
        <u/>
        <sz val="18"/>
        <color rgb="FFFF0000"/>
        <rFont val="Arial"/>
        <family val="2"/>
        <charset val="204"/>
      </rPr>
      <t>"Аёллар</t>
    </r>
    <r>
      <rPr>
        <b/>
        <u/>
        <sz val="18"/>
        <rFont val="Arial"/>
        <family val="2"/>
        <charset val="204"/>
      </rPr>
      <t xml:space="preserve"> </t>
    </r>
    <r>
      <rPr>
        <b/>
        <u/>
        <sz val="18"/>
        <color rgb="FFFF0000"/>
        <rFont val="Arial"/>
        <family val="2"/>
        <charset val="204"/>
      </rPr>
      <t>дафтари"</t>
    </r>
    <r>
      <rPr>
        <b/>
        <sz val="18"/>
        <color rgb="FFFF0000"/>
        <rFont val="Arial"/>
        <family val="2"/>
        <charset val="204"/>
      </rPr>
      <t xml:space="preserve"> </t>
    </r>
    <r>
      <rPr>
        <b/>
        <sz val="18"/>
        <rFont val="Arial"/>
        <family val="2"/>
        <charset val="204"/>
      </rPr>
      <t xml:space="preserve"> жамғармаларга ажратилган маблағлар тўғрисидаги </t>
    </r>
  </si>
  <si>
    <t>31.12.2020 йил ҳолатига</t>
  </si>
  <si>
    <t>млн.сўм</t>
  </si>
  <si>
    <t>А</t>
  </si>
  <si>
    <t>Б</t>
  </si>
  <si>
    <t>Ургенч шаҳри</t>
  </si>
  <si>
    <t>ЖАМИ</t>
  </si>
  <si>
    <r>
      <t xml:space="preserve">Туман (шаҳар) маҳаллий бюджетларининг 2021 йил давомида маҳаллий бюджет маблағларининг қўшимча манбаси ҳисобидан </t>
    </r>
    <r>
      <rPr>
        <b/>
        <u/>
        <sz val="16"/>
        <color rgb="FFFF0000"/>
        <rFont val="Arial"/>
        <family val="2"/>
        <charset val="204"/>
      </rPr>
      <t>"Ёшлар дафтари"</t>
    </r>
    <r>
      <rPr>
        <b/>
        <sz val="16"/>
        <rFont val="Arial"/>
        <family val="2"/>
        <charset val="204"/>
      </rPr>
      <t xml:space="preserve"> ва </t>
    </r>
    <r>
      <rPr>
        <b/>
        <u/>
        <sz val="16"/>
        <color rgb="FFFF0000"/>
        <rFont val="Arial"/>
        <family val="2"/>
        <charset val="204"/>
      </rPr>
      <t>"Аёллар</t>
    </r>
    <r>
      <rPr>
        <b/>
        <u/>
        <sz val="16"/>
        <rFont val="Arial"/>
        <family val="2"/>
        <charset val="204"/>
      </rPr>
      <t xml:space="preserve"> </t>
    </r>
    <r>
      <rPr>
        <b/>
        <u/>
        <sz val="16"/>
        <color rgb="FFFF0000"/>
        <rFont val="Arial"/>
        <family val="2"/>
        <charset val="204"/>
      </rPr>
      <t>дафтари"</t>
    </r>
    <r>
      <rPr>
        <b/>
        <sz val="16"/>
        <rFont val="Arial"/>
        <family val="2"/>
        <charset val="204"/>
      </rPr>
      <t xml:space="preserve"> жамғармаларга ажратилган маблағлар тўғрисидаги</t>
    </r>
  </si>
  <si>
    <t>ЁШЛАР  дафтарига</t>
  </si>
  <si>
    <t>АЁЛЛАР  дафтарига</t>
  </si>
  <si>
    <t>Шавот тумани</t>
  </si>
  <si>
    <t>2021 йил 1-чорак</t>
  </si>
  <si>
    <t>2021 йил 2-чорак</t>
  </si>
  <si>
    <t>2021 йил 3-чорак</t>
  </si>
  <si>
    <r>
      <t xml:space="preserve">Туман (шаҳар) маҳаллий бюджетларининг 2022 йил давомида маҳаллий бюджетнинг қўшимча манбалари ҳисобидан </t>
    </r>
    <r>
      <rPr>
        <b/>
        <u/>
        <sz val="18"/>
        <color rgb="FFFF0000"/>
        <rFont val="Arial"/>
        <family val="2"/>
        <charset val="204"/>
      </rPr>
      <t>"Ёшлар дафтари"</t>
    </r>
    <r>
      <rPr>
        <b/>
        <sz val="18"/>
        <rFont val="Arial"/>
        <family val="2"/>
        <charset val="204"/>
      </rPr>
      <t xml:space="preserve"> ва </t>
    </r>
    <r>
      <rPr>
        <b/>
        <u/>
        <sz val="18"/>
        <color rgb="FFFF0000"/>
        <rFont val="Arial"/>
        <family val="2"/>
        <charset val="204"/>
      </rPr>
      <t>"Аёллар</t>
    </r>
    <r>
      <rPr>
        <b/>
        <u/>
        <sz val="18"/>
        <rFont val="Arial"/>
        <family val="2"/>
        <charset val="204"/>
      </rPr>
      <t xml:space="preserve"> </t>
    </r>
    <r>
      <rPr>
        <b/>
        <u/>
        <sz val="18"/>
        <color rgb="FFFF0000"/>
        <rFont val="Arial"/>
        <family val="2"/>
        <charset val="204"/>
      </rPr>
      <t>дафтари"</t>
    </r>
    <r>
      <rPr>
        <b/>
        <sz val="18"/>
        <rFont val="Arial"/>
        <family val="2"/>
        <charset val="204"/>
      </rPr>
      <t xml:space="preserve"> жамғармаларга ажратилган маблағлар тўғрисидаги </t>
    </r>
  </si>
  <si>
    <t>31.12.2022 йил ҳолатига</t>
  </si>
  <si>
    <t>Хоразм вилояти</t>
  </si>
  <si>
    <t>Урганч тумани</t>
  </si>
  <si>
    <t>Эркин қолдиқ ҳисобидан</t>
  </si>
  <si>
    <t>1-чорак ДРОБҚ</t>
  </si>
  <si>
    <t>2-чорак ДРОБҚ</t>
  </si>
  <si>
    <t>3-чорак ДРОБҚ</t>
  </si>
  <si>
    <t>2020-2023 йилларда</t>
  </si>
  <si>
    <t>Вилоят жамғамаси</t>
  </si>
  <si>
    <r>
      <t>2023 йил давомида Хоразм вилоятида "</t>
    </r>
    <r>
      <rPr>
        <b/>
        <sz val="14"/>
        <color rgb="FFFF0000"/>
        <rFont val="Times New Roman"/>
        <family val="1"/>
        <charset val="204"/>
      </rPr>
      <t>ЁШЛАР ДАФТАРИ</t>
    </r>
    <r>
      <rPr>
        <b/>
        <sz val="14"/>
        <color theme="1"/>
        <rFont val="Times New Roman"/>
        <family val="1"/>
        <charset val="204"/>
      </rPr>
      <t>" ҳамда "</t>
    </r>
    <r>
      <rPr>
        <b/>
        <sz val="14"/>
        <color rgb="FFFF0000"/>
        <rFont val="Times New Roman"/>
        <family val="1"/>
        <charset val="204"/>
      </rPr>
      <t>АЁЛЛАР ДАФТАРИ</t>
    </r>
    <r>
      <rPr>
        <b/>
        <sz val="14"/>
        <color theme="1"/>
        <rFont val="Times New Roman"/>
        <family val="1"/>
        <charset val="204"/>
      </rPr>
      <t>"   жамғармалари ҳаракати тўғрисида</t>
    </r>
  </si>
  <si>
    <t>Счет № 4213332107</t>
  </si>
  <si>
    <t>Счет № 6012000001</t>
  </si>
  <si>
    <t>Счет № 2214299990</t>
  </si>
  <si>
    <t>Счет № 2214252600</t>
  </si>
  <si>
    <t>бир кунлик ўтказилган</t>
  </si>
  <si>
    <t>Счет № 2214252200</t>
  </si>
  <si>
    <t>Счет № 2214242100</t>
  </si>
  <si>
    <t>Счет № 2214232100</t>
  </si>
  <si>
    <t>01.04.2023 йил ҳолатига</t>
  </si>
  <si>
    <t>1-ИЛОВА</t>
  </si>
  <si>
    <t>Хотин-қизлар муаммоларини тизимли равишда ҳал этиш, уларни ижтимоий қўллаб-қувватлаш бўйича Республика комиссияси кенгайтирилган йиғилишининг 2023 йил 2 мартдаги 1-сонли баёнининг 6-банди ижроси бўйича Хоразм вилоятида “Аёллар дафтари”нинг 4-босқичига кирган эҳтиёжманд хотин-қизларга кўрсатиладиган моддий ёрдамлар тўлаш графиги тўғрисидаги</t>
  </si>
  <si>
    <t>ОЙЛИК ҲИСОБОТ</t>
  </si>
  <si>
    <t>(Минг сўмда)</t>
  </si>
  <si>
    <t>Туман (шаҳар)номи</t>
  </si>
  <si>
    <t>Жами бир марталик ёрдамлар</t>
  </si>
  <si>
    <t>Шундан:</t>
  </si>
  <si>
    <t>Ижро</t>
  </si>
  <si>
    <t>Фоизда</t>
  </si>
  <si>
    <t>Боқувчиси бўлмаган эҳтиёжманд хотин-қизлар</t>
  </si>
  <si>
    <r>
      <t xml:space="preserve">Ижтимоий ёрдамга муҳтож </t>
    </r>
    <r>
      <rPr>
        <b/>
        <sz val="12"/>
        <color rgb="FFFF0000"/>
        <rFont val="Times New Roman"/>
        <family val="1"/>
        <charset val="204"/>
      </rPr>
      <t xml:space="preserve">I ва II </t>
    </r>
    <r>
      <rPr>
        <b/>
        <sz val="12"/>
        <rFont val="Times New Roman"/>
        <family val="1"/>
        <charset val="204"/>
      </rPr>
      <t>гуруҳ ногирони бўлган хотин-қизлар</t>
    </r>
  </si>
  <si>
    <t>Қарамоғида ногиронлиги бўлган болалари мавжуд эҳтиёжманд аёллар</t>
  </si>
  <si>
    <t>Сони</t>
  </si>
  <si>
    <t>Сумма</t>
  </si>
  <si>
    <t>Урганч шаҳар</t>
  </si>
  <si>
    <t>Қўшкўпир тумани</t>
  </si>
  <si>
    <t>Ҳонқа тумани</t>
  </si>
  <si>
    <t>2-ИЛОВА</t>
  </si>
  <si>
    <r>
      <t xml:space="preserve">Хоразм вилоятида “Аёллар дафтари”нинг 4-босқичига кирган </t>
    </r>
    <r>
      <rPr>
        <b/>
        <u/>
        <sz val="20"/>
        <color rgb="FF1F4E79"/>
        <rFont val="Times New Roman"/>
        <family val="1"/>
        <charset val="204"/>
      </rPr>
      <t>Уй-жойга муҳтож эҳтиёжманд хотин-қизлар</t>
    </r>
    <r>
      <rPr>
        <sz val="20"/>
        <color rgb="FF1F4E79"/>
        <rFont val="Times New Roman"/>
        <family val="1"/>
        <charset val="204"/>
      </rPr>
      <t xml:space="preserve">га кўрсатилган ёрдамлар тўғрисидаги </t>
    </r>
  </si>
  <si>
    <t>(минг сўмда)</t>
  </si>
  <si>
    <t>Туман (шаҳар) номи</t>
  </si>
  <si>
    <t>Жами Уй-жойга муҳтож эҳтиёжманд хотин-қизлар</t>
  </si>
  <si>
    <t>Уй-жойи билан таъминланадиган хотин-қизлар</t>
  </si>
  <si>
    <t>Ижара компенсация тўлаб бериладиган хотин-қизлар</t>
  </si>
  <si>
    <t>Март ойи моддий ёрдам</t>
  </si>
  <si>
    <t>Ижара компенсацияси</t>
  </si>
  <si>
    <t>Форма : № 107</t>
  </si>
  <si>
    <t>Дата формирования: 03.04.2023</t>
  </si>
  <si>
    <t>Валюта: Узбекский Сум</t>
  </si>
  <si>
    <t>ОС - 3</t>
  </si>
  <si>
    <t>ОПЕРАТИВНЫЕ СВЕДЕНИЯ ПО КАССОВЫМ РАСХОДАМ С КАЗНАЧЕЙСКОГО ЛИЦЕВОГО СЧЕТА</t>
  </si>
  <si>
    <t>№ п/п</t>
  </si>
  <si>
    <t>Дата</t>
  </si>
  <si>
    <t>Наименование БО</t>
  </si>
  <si>
    <t>Лицевой счет</t>
  </si>
  <si>
    <t>Тип документа</t>
  </si>
  <si>
    <t>Номер док-та</t>
  </si>
  <si>
    <t>Статья расходов</t>
  </si>
  <si>
    <t>Наименование получателя</t>
  </si>
  <si>
    <t>Cчет получателя</t>
  </si>
  <si>
    <t>МФО получателя</t>
  </si>
  <si>
    <t>ИНН получателя</t>
  </si>
  <si>
    <t>Детали платежа</t>
  </si>
  <si>
    <t>Урганч шахар Аeл жамгармаси</t>
  </si>
  <si>
    <t>305122860334017109602018001 </t>
  </si>
  <si>
    <t>Платежное поручение</t>
  </si>
  <si>
    <t>Сохиба- Севинч оилавий корхонаси</t>
  </si>
  <si>
    <t>20208000700519023001 </t>
  </si>
  <si>
    <t>305122860334017109602018001~201753140~Урганч шахар Хокимлиги "Аёллар дафтари" жамгармаси (Фонд-3051)~УРВМ=31.03.2023йил145-сонли карор ва 07,02,2023йил Аёллар-дафтарига киритилган хотин кизларни ижтимойи куллаб-кувватлаш буйича васийлик кенгаши. 07,03,2023йил 5 сонли шартнома ва 09,03,2023йил 5-сонли счет фактурага асосан урганч шахридаги кам таъминланган аёлларнинг болалрига мактаб фурмаси учун 100% утказилди лот23110012231884; Ст. 42.52.200</t>
  </si>
  <si>
    <t>TIVA MEDICAL OOO</t>
  </si>
  <si>
    <t>20208000504942055001 </t>
  </si>
  <si>
    <t>305122860334017109602018001~201753140~Урганч шахар Хокимлиги "Аёллар дафтари" жамгармаси (Фонд-3051)~23.03.2023 йил 9 юридик суровнома УРВМ= 31.03.2022йил 145сон карор 8 -параграф 39-банди ва 17,03,2023йил№2 ург ш васийлик кенг баёни ва 01,03,2023 й 20- сонли шартга асосан Исамуратова Сайёра Исамуратовнанинг Жаррохлик амалиёти у-н 100% (Субсидия); Ст. 48.21.190</t>
  </si>
  <si>
    <t>"Истанбул ЭКЮ маркази" МЧЖ</t>
  </si>
  <si>
    <t>20208000505046249001 </t>
  </si>
  <si>
    <t>305122860334017109602018001~201753140~Урганч шахар Хокимлиги "Аёллар дафтари" жамгармаси (Фонд-3051)~23.03.2023 йил 8 юридик суровнома УРВМ= 31.03.2022йил 145сон карор 8 -параграф 39-банди ва 17,03,2023йил№2 ург ш васийлик кенг баёни ва 26,01,2023 й 8- сонли шартга асосан Юсупова Севара Сабуровнанинг ЭКО-ICSI,ET учун 100% утказилди (Субсидия); Ст. 48.21.190</t>
  </si>
  <si>
    <t>ДТ Халк банкнинг Урганч шахар филиали</t>
  </si>
  <si>
    <t>29848000900000808900 </t>
  </si>
  <si>
    <t>305122860334017109602018001~201753140~Урганч шахар Хокимлиги "Аёллар дафтари" жамгармаси (Фонд-3051)~23,03,23й №7 юридик суров-а 17,03,2023йил 2-сон вас кенгаши асосан "Аёллар ДАФТАРИ"га киритилган аёлларни моддий куллаб-кувватлаш б-н боглик хараж-ни коплаш у-н банк-ус 1% ПК-198-сон кар асосан; Ст. 48.21.190</t>
  </si>
  <si>
    <t>305122860334017109602018001~201753140~Урганч шахар Хокимлиги "Аёллар дафтари" жамгармаси (Фонд-3051)~(23.03.2023 6- сонли юридик суровнома) УРВМ= 31.03.2022йил 145сон карори 3 боб 5-параграф 33-бандива 17,03,2023йил№2 урганч шахар васийлик кенгаши асосан 560 нафар аёлларга бир марталик моддий ёрдам; Ст. 47.21.900</t>
  </si>
  <si>
    <t>МЧЖ TURK-BUKHARA ECO CENTRE</t>
  </si>
  <si>
    <t>20214000005307927001 </t>
  </si>
  <si>
    <t>305122860334017109602018001~201753140~Урганч шахар Хокимлиги "Аёллар дафтари" жамгармаси (Фонд-3051)~24.03.2023 йил 10 юридик суровнома УРВМ= 31.03.2022йил 145сон карор 8 -параграф 39-банди ва 17,03,2023йил№2 ург ш васийлик кенг баёни ва 26,01,2023 й 8- сонли шартга асосан Матчанова Гулнора Бахрамовнанинг ЭКО-ICSI,ET учун 100% утказилди (Субсидия); Ст. 48.21.190</t>
  </si>
  <si>
    <t>Республика "Махалла" хайрия жамгармаси фонди</t>
  </si>
  <si>
    <t>20212000000153649002 </t>
  </si>
  <si>
    <t>305122860334017109602018001~201753140~Урганч шахар Хокимлиги "Аёллар дафтари" жамгармаси (Фонд-3051)~(25,03,2023йил 14 сон юридик суровнома) 17.03.23йилХ.в.х 2км к-га а-н УзРВаз Махкамаси= 2023йил 13 мартда Навроз умумхалк байрами ва рамозон ойи арафасида махаллаларда халкимизнинг розилиги ва ислохатларга дахилдорлигини оширишга каратилган асосаий вазифаларга ойид карорни ижроси учун утказилди 100%; Ст. 48.21.190</t>
  </si>
  <si>
    <t>ИТОГО ПО Отделение по г.Ургенч</t>
  </si>
  <si>
    <t>Богот туман Аелларни ижтимоий куллаб кувватлаш жамгармаси</t>
  </si>
  <si>
    <t>305122860332047109602018001 </t>
  </si>
  <si>
    <t>Казнач.мемор.ордер(часть получателя)</t>
  </si>
  <si>
    <t>CN-1126188</t>
  </si>
  <si>
    <t>Молия Вазирлиги Ягона Газна хисобвараги</t>
  </si>
  <si>
    <t>23402000300100001010 </t>
  </si>
  <si>
    <t>09510~305122860332047109602018001~200427016~Богот т Аелларни ижтимоий кул кув жам-си оплата 100% по договору №1126188 от 13-МАР-23 от 200427016(Богот т Аелларни ижтимоий кул кув жам-си)</t>
  </si>
  <si>
    <t>CN-1145730</t>
  </si>
  <si>
    <t>09510~305122860332047109602018001~200427016~Богот т Аелларни ижтимоий кул кув жам-си оплата 100% по договору №1145730 от 19.03.23 от 200427016(Богот т Аелларни ижтимоий кул кув жам-си)</t>
  </si>
  <si>
    <t>ДТ Халк банкнинг Богот филиали</t>
  </si>
  <si>
    <t>29848000500000816900 </t>
  </si>
  <si>
    <t>305122860332047109602018001~200427016~Богот тумани Хокимлиги "Аёллар дафтари" жамгармаси (Фонд-3051)~17.03.2023 йл № 01-сон Ю.М.Р.У. бую. Узбекистон Республикаси Вазирлар Махкамасининг 31.03.2022 йилдаги №145 сонли карорига хамда 17.03.2023й № 02-сонли васийлик кенгашининг баёнига асосин "Аёллар дафтарига"киритилган хотин-кизларга бир марталик моддий ёрдам пули накд пулда таркатиш учун олтиндан 100% тулов утказилади; Ст. 47.21.900</t>
  </si>
  <si>
    <t>305122860332047109602018001~200427016~Богот тумани Хокимлиги "Аёллар дафтари" жамгармаси (Фонд-3051)~17.03.2023 йл № 02-сон Ю.М.Р.У. бую. Узбекистон Республикаси Вазирлар Махкамасининг 31.03.2022 йилдаги № 145 сонли карорига хамда 17.03.2023й № 02-сонли васийлик кенгашининг баёнига асосин "Аёллар дафтарига"киритилган хотин-кизларга бир марталик моддий ёрдам пули накд пулда таркатишга банк хизмати учун олтиндан 100% тулов утказилади; Ст. 48.21.190</t>
  </si>
  <si>
    <t>305122860332047109602018001~200427016~Богот тумани Хокимлиги "Аёллар дафтари" жамгармаси (Фонд-3051)~27.03.2023 йл № 3-сон Ю.М.Р.У. бую-га асосан. Хоразм вилояти Хокимининг 17.03.2023 йилдаги № 2-qm сонли карорига асосан Республика "Махалла" хайрия жамгармаси фонди учун 100% тулов утказилади; Ст. 48.21.190</t>
  </si>
  <si>
    <t>ИТОГО ПО Отделение по Багатскому району</t>
  </si>
  <si>
    <t>Гурлан тумани аеллар дафтари жамгармаси</t>
  </si>
  <si>
    <t>305122860332087109602018001 </t>
  </si>
  <si>
    <t>Гурлан тумани буйича Газначилик булинмаси</t>
  </si>
  <si>
    <t>23214000404625696995 </t>
  </si>
  <si>
    <t>07120~305122860332087109602018001~201137677~Гурлан т. Хокимлиги "Аёллар дафтари" жамгармаси (Фонд-3051)~2023 йил март ойида "Аёллар дафтари"га киритилган аёлларни куллаб-кувватлаш максадида моддий ёрдам пулига накд пул олиш учун утказилади.; Ст. 47.21.900</t>
  </si>
  <si>
    <t>305122860332087109602018001~201137677~Гурлан т. Хокимлиги "Аёллар дафтари" жамгармаси (Фонд-3051)~Вилоят хокимининг 2023 й 17 мартдаги 2-КМ сонли карори ижросини таъминлаш максадида Махалла хайрия жамгармасига утказилади; Ст. 48.21.190</t>
  </si>
  <si>
    <t>OOO"CITY PHARM"</t>
  </si>
  <si>
    <t>20208000900825766001 </t>
  </si>
  <si>
    <t>305122860332087109602018001~201137677~Гурлан т. Хокимлиги "Аёллар дафтари" жамгармаси (Фонд-3051)~2023й 31 мартдаги 2-юридик суровномага асосан ва Аёллар дафтари буйича васийлик кенгаши йигилишининг 1 сонли баёнига асосан Гурлан тумани Ёрмиш махалласида яшовчи Нурниязова Феруза Гайратовнанинг фарзанди Гулимбоев Жавохир Санъат углининг даволаниш харажатлари учун; Ст. 47.21.900</t>
  </si>
  <si>
    <t>ИТОГО ПО Отделение по Гурленскому району</t>
  </si>
  <si>
    <t>Кушкупир туман Аелларни ижтимоий куллаб кувватлаш жамгармаси</t>
  </si>
  <si>
    <t>305122860332127109602018001 </t>
  </si>
  <si>
    <t>ДТ Халк банкнинг Кушкупир филиали</t>
  </si>
  <si>
    <t>29848000700000815900 </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</si>
  <si>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2023 йил 16-мартдаги 2-сонли баёни ва 23,03,2023 йилдаги №13 юридик суровга асосан даволаниш ва дори воситалари олиш учун моддий ёрдам пули утказилди.; Ст. 47.21.900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</si>
  <si>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2023 йил 16-мартдаги 2-сонли баёни ва 23,03,2023 йилдаги №12 юридик суровга асосан бир марталик оддий ёрдам пули олиш учун утказилди.; Ст. 47.21.900</t>
  </si>
  <si>
    <t>305122860332127109602018001~200905774~Кушкупир т. Хокимлиги "Аёллар дафтари" жамгармаси (Фонд-3051)~Хоразм вилилоят Хокиминиинг 17,03,2023 й №2-qm сонли карори ва Кушкупир туман Хокимининг 17,03,2023 й №1-qm сонли карорига хамда 25,03,2023 йилдаги №55 сонли юридик суровга асосан Республика махалла хайрия жамоат фондига хомийлик учун утказилди; Ст. 48.21.190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</si>
  <si>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2023 йил 27-мартдаги 3-сонли баёни ва 29,03,2023 йилдаги №14 юридик суровга асосан бир марталик оддий ёрдам пули олиш учун утказилди.; Ст. 47.21.900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</si>
  <si>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2023 йил 27-мартдаги 3-сонли баёни ва 29,03,2023 йилдаги №15 юридик суровга асосан ижара компенсация пули утказилди.; Ст. 47.21.900</t>
  </si>
  <si>
    <t>ИТОГО ПО Отделение Кушкупырского района</t>
  </si>
  <si>
    <t>Урганч туман Аеллар дафтари жамгармаси</t>
  </si>
  <si>
    <t>305122860332177109602018001 </t>
  </si>
  <si>
    <t>ДТ Халк банкнинг Коровул филиали</t>
  </si>
  <si>
    <t>29848000300000817900 </t>
  </si>
  <si>
    <t>07210~305122860332177109602018001~201901724~Урганч туман Хокимлиги "Аёллар дафтари" жамгармаси (Фонд-3051)~Аёллар масаласи буйича васийлик кенгашининг 06.03.2023й №3 йигилиш карорига асосан Урганч тумани "Аёллар дафтари" жамгармасидан 192 нафар аёлларга бир марталик моддий ёрдам пули таркатиш учун утказилди; Ст. 47.21.900</t>
  </si>
  <si>
    <t>305122860332177109602018001~201901724~Урганч туман Хокимлиги "Аёллар дафтари" жамгармаси (Фонд-3051)~Хоразм вилояти хокимининг 17.03.2023й №2 баёни ва 27.03.2023й №1 юридик суровномага асосан "Аёллар дафтари"жамгармаси хисобидан махалла жамоат фондига 62 200 000 сум пул тулик утказилди; Ст. 48.21.190</t>
  </si>
  <si>
    <t>ИТОГО ПО Отделение по Ургенчскому району</t>
  </si>
  <si>
    <t>Хазорасп туман аеллар дафтари жамгармаси</t>
  </si>
  <si>
    <t>305122860332207109602018001 </t>
  </si>
  <si>
    <t>"Хоразм фортуна савдо курилиш" МЧЖ</t>
  </si>
  <si>
    <t>20208000405017060001 </t>
  </si>
  <si>
    <t>305122860332207109602018001~200419698~Хазорасп туман Хокимлиги "Аёллар дафтари" жамгармаси (Фонд-3051)~10,03,2023 йил 10 мартдаги №25790-сонли шартномага асосан фёллар дафтарида турувчи фуыароларни турар жойларини таъмирлаш хизматлари учун олдиндан 30% щтказилди; Ст. 42.32.100</t>
  </si>
  <si>
    <t>305122860332207109602018001~200419698~Хазорасп туман Хокимлиги "Аёллар дафтари" жамгармаси (Фонд-3051)~10,03,2023 йил 10 мартдаги №25790-сонли шартнома, 16.03.2023 йилдаги №16-сонли хисоб варак фактурага асосан ёллар дафтарида турувчи фукароларни турар жойларини таъмирлаш хизматлари учун 70% щтказилди; Ст. 42.32.100</t>
  </si>
  <si>
    <t>305122860332207109602018001~200419698~Хазорасп туман Хокимлиги "Аёллар дафтари" жамгармаси (Фонд-3051)~Хоразм вилояти хокимининг 17.03.2023 йилдаги №2-qm-сонли карори, 25.03.2023 йилдаги №60/1-сонли юридик мажбуриятга асосан Республика махалла хайрия жамоат фондига хомийлик учун утказилди; Ст. 48.21.190</t>
  </si>
  <si>
    <t>ДТ Халк банкнинг Хазорасп филиали</t>
  </si>
  <si>
    <t>29848000900000813900 </t>
  </si>
  <si>
    <t>07120~305122860332207109602018001~200419698~Хазорасп туман Хокимлиги "Аёллар дафтари" жамгармаси (Фонд-3051)~Васийлик Кенгашининг 25,03,2023 йилдаги №5-сонли баёнига асосан дафтарда турувчи фукароларга бир маррталик моддий ёрдам бериш учун кучирилди; Ст. 47.21.900</t>
  </si>
  <si>
    <t>07120~305122860332207109602018001~200419698~Хазорасп туман Хокимлиги "Аёллар дафтари" жамгармаси (Фонд-3051)~Васийлик Кенгашининг 30,03,2023 йилдаги №6-сонли баёнига асосан дафтарда турувчи фукароларга бир маррталик моддий ёрдам бериш учун кучирилди; Ст. 47.21.900</t>
  </si>
  <si>
    <t>ИТОГО ПО Отделение по Хазараспскому району</t>
  </si>
  <si>
    <t>Хонка туман Хокимлиги Аеллар дафтари жамгармаси</t>
  </si>
  <si>
    <t>305122860332237109602018001 </t>
  </si>
  <si>
    <t>ДТ Халк банкнинг Хонка филиали</t>
  </si>
  <si>
    <t>29848000200000812900 </t>
  </si>
  <si>
    <t>07210~305122860332237109602018001~202374374~Хонка туман Хокимлиги "Аёллар дафтари" жамгармаси (Фонд-3051)~"Аёллар дафтари"га киритилган аёлларни куллаб-кувватлаш жамгармаси Васийлик кенгашининг 07.03.2023 йил № 2-сонли йигилиш баёни ижросини таъминлаш максадида "Аёллар дафтари"нинг 4-боскичига киритилган эхтиёжманд хотин-кизларни моддий жихатдан куллаб-кувватлаш максадида 2023 йил март ойи бир марталик моддий ёрдам пули утказилади.; Ст. 47.21.900</t>
  </si>
  <si>
    <t>ООО"ВИП-Аптека"</t>
  </si>
  <si>
    <t>20208000205383526001 </t>
  </si>
  <si>
    <t>305122860332237109602018001~202374374~Хонка туман Хокимлиги "Аёллар дафтари" жамгармаси (Фонд-3051)~?Аёллар дафтари? жамгармаси Васийлик кенгашининг 24.03.2023 йил № 3-сонли баёни ва 24.03.2023 йил № 10-сонли шартномага асосан даволаниш максадида дори дармонлари учун Шарипова Орзигулга субсидия учун олдиндан 100% утказилади. Паспорт- AВ 4341045.; Ст. 48.21.190</t>
  </si>
  <si>
    <t>305122860332237109602018001~202374374~Хонка туман Хокимлиги "Аёллар дафтари" жамгармаси (Фонд-3051)~25,03,23й №2-qm юр.суровнома ва Хоразм вилояти хокимининг 17.03.2023 йилдаги №2-qm-сонли карорига асосан республика махалла хайрия жамгармасига утказилади.; Ст. 48.21.190</t>
  </si>
  <si>
    <t>23120000700000812100 </t>
  </si>
  <si>
    <t>305122860332237109602018001~202374374~Хонка туман Хокимлиги "Аёллар дафтари" жамгармаси (Фонд-3051)~27.03.2023 йил № 7-сонли ижара шартномаси ва 28.03.2023 йилдаги № 7/3- хисоб-фактурасига асосан 2023 йил март ойи ижара хаки учун 100 фоиз тулов Маданбаев Бахтиёр Калмухановичнинг пластик карточкасига утказилади. Паспорт AА 6603360. Пластик раками- 8600 0604 2751 9468.; Ст. 42.42.100</t>
  </si>
  <si>
    <t>Хонка т.,ОАТБ "Агробанк" Xонка ф.</t>
  </si>
  <si>
    <t>23120000800000560001 </t>
  </si>
  <si>
    <t>305122860332237109602018001~202374374~Хонка туман Хокимлиги "Аёллар дафтари" жамгармаси (Фонд-3051)~27.03.2023 йил № 9-сонли ижара шартномаси ва 28.03.2023 йилдаги № 9/3- хисоб-фактурага асосан 2023 йил март ойи ижара хаки учун 100 фоиз тулов Машарипов Кузибойнинг пластик карточкасига утказилади. Паспорт AВ 9894184. Пластик раками- 8600 0424 3080 0416.; Ст. 42.42.100</t>
  </si>
  <si>
    <t>Тошкент ш.,Кишлок-Курилиш ОАТБ бош амал. бошкармаси</t>
  </si>
  <si>
    <t>23120000500001037237 </t>
  </si>
  <si>
    <t>305122860332237109602018001~202374374~Хонка туман Хокимлиги "Аёллар дафтари" жамгармаси (Фонд-3051)~27.03.2023 йил № 6-сонли ижара шартномаси ва 28.03.2023 йилдаги № 6/3- хисоб-фактурасига асосан 2023 йил март ойи ижара хаки учун 100 фоиз тулов Матякубов Одилбек Сардаровичнинг пластик карточкасига утказилади. Пластик раками- 9860 0609 3728 4408. Паспорт АВ 0415101.; Ст. 42.42.100</t>
  </si>
  <si>
    <t>ТИФ Миллий банк Хонка фил.</t>
  </si>
  <si>
    <t>23120000800000915001 </t>
  </si>
  <si>
    <t>305122860332237109602018001~202374374~Хонка туман Хокимлиги "Аёллар дафтари" жамгармаси (Фонд-3051)~27.03.2023 йил № 5-сонли ижара шартномаси ва 28.03.2023 йилдаги № 5/3- хисоб-фактурасига асосан 2023 йил март ойи ижара хаки учун 100 фоиз тулов Хайитов Жасурбек Бахрамовичнинг пластик карточкасига утказилади. Пластик раками- 9860 1201 8402 7064. Паспорт АВ 8064556.; Ст. 42.42.100</t>
  </si>
  <si>
    <t>Урганч ш. Хамкорбанк ОАТ банкнинг Урганч ф-ли</t>
  </si>
  <si>
    <t>23120000000011455001 </t>
  </si>
  <si>
    <t>305122860332237109602018001~202374374~Хонка туман Хокимлиги "Аёллар дафтари" жамгармаси (Фонд-3051)~27.03.2023 йил № 4-сонли ижара шартномаси ва 28.03.2023 йилдаги № 4/3- хисоб-фактурасига асосан 2023 йил март ойи ижара хаки учун 100 фоиз тулов Хайитов Расулбек Курамбоевичнинг аризасига асосан Аллаберганова Ироданинг пластик карточкасига утказилади. Пластик раками- 8600 1204 4823 0410.; Ст. 42.42.100</t>
  </si>
  <si>
    <t>23120000300000812300 </t>
  </si>
  <si>
    <t>305122860332237109602018001~202374374~Хонка туман Хокимлиги "Аёллар дафтари" жамгармаси (Фонд-3051)~27.03.2023 йил № 3-сонли ижара шартномаси ва 28.03.2023 йилдаги № 3/3- хисоб-фактурасига асосан 2023 йил март ойи ижара хаки учун 100 фоиз тулов Рахимов Бозорбой Ражабовичнинг пластик карточкасига утказилади. Пластик раками- 9860 0825 7123 2444. Паспорт- АВ 8450348.; Ст. 42.42.100</t>
  </si>
  <si>
    <t>305122860332237109602018001~202374374~Хонка туман Хокимлиги "Аёллар дафтари" жамгармаси (Фонд-3051)~27.03.2023 йил № 2-сонли ижара шартномаси ва 28.03.2023 йилдаги № 2/3- хисоб-фактурага асосан 2023 йил март ойи ижара хаки учун 100 фоиз тулов Балтаев Бахадирнинг пластик карточкасига утказилади. Паспорт AВ 6264359. Пластик раками- 9860 0301 3212 9500.; Ст. 42.42.100</t>
  </si>
  <si>
    <t>305122860332237109602018001~202374374~Хонка туман Хокимлиги "Аёллар дафтари" жамгармаси (Фонд-3051)~27.03.2023 йил № 1-сонли ижара шартномаси ва 28.03.2023 йилдаги № 1/3- хисоб-фактурасига асосан 2023 йил март ойи ижара хаки учун 100 фоиз тулов Собирова Окила Раззаковнанинг аризасига асосан Жуманазарова Рухсоранинг пластик карточкасига утказилади. Пластик раками- 8600 0609 6316 1618.; Ст. 42.42.100</t>
  </si>
  <si>
    <t>Урганч ш.,Ипотека-Банк АТИБ Тинчлик ф.</t>
  </si>
  <si>
    <t>23120000800000580200 </t>
  </si>
  <si>
    <t>305122860332237109602018001~202374374~Хонка туман Хокимлиги "Аёллар дафтари" жамгармаси (Фонд-3051)~27.03.2023 йил № 8-сонли ижара шартномаси ва 28.03.2023 йилдаги № 8/3- хисоб-фактурага асосан 2023 йил март ойи ижара хаки учун 100 фоиз тулов Мухаметов Мансур Миняровичнинг пластик карточкасига утказилади. Паспорт AВ 6250944. Пластик раками- 9860 0101 3459 5213.; Ст. 42.42.100</t>
  </si>
  <si>
    <t>07210~305122860332237109602018001~202374374~Хонка туман Хокимлиги "Аёллар дафтари" жамгармаси (Фонд-3051)~"Аёллар дафтари"га киритилган аёлларни куллаб-кувватлаш жамгармаси Васийлик кенгашининг 30.03.2023 йил № 4-сонли йигилиш баёни ижросини таъминлаш максадида "Аёллар дафтари"нинг 4-боскичига киритилган эхтиёжманд хотин-кизларни моддий жихатдан куллаб-кувватлаш максадида 2023 йил март ойи бир марталик моддий ёрдам пули утказилади.; Ст. 47.21.900</t>
  </si>
  <si>
    <t>ИТОГО ПО Отделение по Ханкинскому району</t>
  </si>
  <si>
    <t>Шовот туман Аелларни куллаб кувватлаш жамгармаси</t>
  </si>
  <si>
    <t>305122860332307109602018001 </t>
  </si>
  <si>
    <t>Шовот тумани Газначилик булинмаси</t>
  </si>
  <si>
    <t>29848000600000810900 </t>
  </si>
  <si>
    <t>07120~305122860332307109602018001~201528744~Шовот т. Хокимлиги "Аёллар дафтари" жамгармаси (Фонд-3051)~Узбекистон Республикаси Президенти Администрациясининг 2020 йил декабрдаги 02-3427-сонли топширигига асосан Аёллар дафтарига киритилган фукароларни моддий жихатдан куллаб кувватлаш билан боглик харажатларни коплаш учун утказилди.; Ст. 47.21.900</t>
  </si>
  <si>
    <t>305122860332307109602018001~201528744~Шовот т. Хокимлиги "Аёллар дафтари" жамгармаси (Фонд-3051)~Хоразм вилояти хокимининг 2023 йил 17 мартдаги карори хамда 25.03.2023 йилдаги № 1 юридик суровномага асосан хайрия учун 100 % тулов утказилди; Ст. 48.21.190</t>
  </si>
  <si>
    <t>ИТОГО ПО Отделение по Шаватскому району</t>
  </si>
  <si>
    <t>Аеллар дафтарига киритилган аелларни ижтимоий куллаб-кувватлаш жамгармаси</t>
  </si>
  <si>
    <t>305122860332337109602018001 </t>
  </si>
  <si>
    <t>CN-1096820</t>
  </si>
  <si>
    <t>09510~305122860332337109602018001~200212370~аёллар жамгармаси оплата 100% по договору №1096820 от 01-MAR-23 от 200212370(аёллар жамгармаси)</t>
  </si>
  <si>
    <t>ДТ Халк банкнинг Янгиарик филиали</t>
  </si>
  <si>
    <t>29848000900000814900 </t>
  </si>
  <si>
    <t>305122860332337109602018001~200212370~Янгиарик туман Хокимлиги "Аёллар дафтари" жамгармаси (Фонд-3051)~06.03.2023 йилдаги 2 сонли юридик суровнома Вазирлар Махкамасининг 31,03,2022 йилдаги 145 сонли карорининг 10-12- 18-банди ва Хотин кизлар булимининг 06.03.2023 йилдаги 2 сонли васийлик кенгаши баёнига асосан Аёллар дафтари жамгармаси маблаглари хисобидан аёллар дафтарига киритилган аёллар учун бир марталик моддий ёрдам пули 100% утказилди; Ст. 47.21.900</t>
  </si>
  <si>
    <t>23120000000000814177 </t>
  </si>
  <si>
    <t>305122860332337109602018001~200212370~Янгиарик туман Хокимлиги "Аёллар дафтари" жамгармаси (Фонд-3051)~06.03.2023 йил 3 сонли юридик суровнома Вазирлар Махкамасини 31,03,22 йилдаги 145 сонли карор 10-12- 18-банди 06.03.2023 йилдаги 2 сонли васийлик кенгаши баёнига асосан Аёллар дафтарига киритилган аёлларни бир марталик моддий ёрдам пулини таркатиш учун 1% банк хизмат пули 100% утказилди; Ст. 48.21.190</t>
  </si>
  <si>
    <t>305122860332337109602018001~200212370~Янгиарик туман Хокимлиги "Аёллар дафтари" жамгармаси (Фонд-3051)~06.03.2023 йилдаги 2. сонли юридик суровнома Вазирлар Махкамасининг 31,03,2022 йилдаги 145 сонли карорининг 10-12- 18-банди ва Хотин кизлар булимининг 06.03.2023 йилдаги 2 сонли васийлик кенгаши баёнига асосан Аёллар дафтари жамгармаси маблаглари хисобидан аёллар дафтарига киритилган аёллар учун бир марталик моддий ёрдам пули учун 1% БАНК ХИЗМАТИ ХАКИ 100% утказилди; Ст. 47.21.900</t>
  </si>
  <si>
    <t>305122860332337109602018001~200212370~Янгиарик туман Хокимлиги "Аёллар дафтари" жамгармаси (Фонд-3051)~25.03.2023 йилдаги №9 сонли юридик мажбуриятга ва Вазирлар махкамасининг 13.03.2023 йилдаги 103-11 сонли карорига асосан хомийлик хайрия маблаги пули 100% утказилди; Ст. 48.21.190</t>
  </si>
  <si>
    <t>09510~305122860332337109602018001~200212370~Янгиарик туман Хокимлиги "Аёллар дафтари" жамгармаси (Фонд-3051)~14.03.2023 йилдаги №6 сонли юридик мажбуриятга ва вазирлар махкамасининг 31.03.2022 йилдаги 145 сонли карори 2 иловаси 21 банди ва 09.12.2022 йилдаги 10 сонли васийлик кенгаши баёнига асосан аёллар дафтаридаги Якубова Райхон Ахмедовна кантракт пули учун 100% утказилди; Ст. 48.21.190</t>
  </si>
  <si>
    <t>09510~305122860332337109602018001~200212370~Янгиарик туман Хокимлиги "Аёллар дафтари" жамгармаси (Фонд-3051)~14.03.2023 йилдаги №7 сонли юридик мажбуриятга ва вазирлар махкамасининг 31.03.2022 йилдаги 145 сонли карори 2 иловаси 21 банди ва 09.12.2022 йилдаги 10 сонли васийлик кенгаши баёнига асосан аёллар дафтаридаги Джамалова Жупаргул Захаратдиновна кантракт пули учун 100% утказилди; Ст. 48.21.190</t>
  </si>
  <si>
    <t>"ARAKS KOMPYUTER SHOP" MCHJ</t>
  </si>
  <si>
    <t>20208000905600427001 </t>
  </si>
  <si>
    <t>305122860332337109602018001~200212370~Янгиарик туман Хокимлиги "Аёллар дафтари" жамгармаси (Фонд-3051)~27,03,2023 йилдаги 5 сонли юридик суровнома вазирлар махкамаси 31.03.2022йиллдаги 145 сонли карорининг 2 илова 31 банди ва васийлик кенгаши 06.03.2023 йиллдаги 2 сонли баёнига асосан аёллар дафтаридаги Аминова Зулфия узини узи банд килиши учун субсидия тулови утказилди; Ст. 48.21.190</t>
  </si>
  <si>
    <t>08102~4014228601332333422950179~305122860332337109602018001~200212370~Янгиарик туман Хокимлиги "Аёллар дафтари" жамгармаси (Фонд-3051)~27,03,2023 йилдаги 10 сонли юридик суровнома 31.03.2023 йилдаги Вазирлар махкамасининг 145 сонли карорининг 39 банди ва 09.12.2022 йилдаги васийлик кенгашининг 10 сонли баёнига а-н Сабирова Умида Камоладдиновна 16,11,1984 AD 1643140 нинг хорижга чикиш паспорти тулови учун утказилди. КВ раками 65098503619762; Ст. 48.21.190</t>
  </si>
  <si>
    <t>"Маъмун номидаги жахон тиллари" HTM</t>
  </si>
  <si>
    <t>20208000805090250001 </t>
  </si>
  <si>
    <t>305122860332337109602018001~200212370~Янгиарик туман Хокимлиги "Аёллар дафтари" жамгармаси (Фонд-3051)~14.03.2023 йилдаги №8 сонли юридик мажбуриятга ва вазирлар махкамасининг 31.03.2022 йилдаги 145 сонли карори 2 иловаси 21 банди ва 09.12.2022 йилдаги 10 сонли васийлик кенгаши баёнига асосан аёллар дафтаридаги Назарова Наргиза Аманкелдиевнанинг кантрак пули учун 100% утказилди; Ст. 48.21.190</t>
  </si>
  <si>
    <t>08102~4014228601332333422950179~305122860332337109602018001~200212370~Янгиарик туман Хокимлиги "Аёллар дафтари" жамгармаси (Фонд-3051)~28,03,2023 йилдаги 11 сонли юридик суровнома 31.03.2023 йилдаги Вазирлар махкамасининг 145 сонли карорининг 39 банди ва 09.12.2022 йилдаги васийлик кенгашининг 10 сонли баёнига аcосан Ибодуллаева Чароснинг фукарлик паспорти тулови учун утказилди. КВ раками 92763007003586; Ст. 48.21.190</t>
  </si>
  <si>
    <t>305122860332337109602018001~200212370~Янгиарик туман Хокимлиги "Аёллар дафтари" жамгармаси (Фонд-3051)~28.03.2023 йилдаги 2/1 сонли юридик суровнома Вазирлар Махкамасининг 31,03,2022 йилдаги 145 сонли карорининг 10-12- 18-банди ва Хотин кизлар булимининг 06.03.2023 йилдаги 2 сонли васийлик кенгаши баёнига асосан Аёллар дафтари жамгармаси маблаглари хисобидан аёллар дафтарига киритилган аёллар учун бир марталик моддий ёрдам пули ва 1% банк хизмати хаки 100% утказилди; Ст. 47.21.900</t>
  </si>
  <si>
    <t>305122860332337109602018001~200212370~Янгиарик туман Хокимлиги "Аёллар дафтари" жамгармаси (Фонд-3051)~28.03.2023 йилдаги 12 сонли юридик суровнома Вазирлар Махкамасининг 31,03,2022 йилдаги 145 сонли карори ва Хотин кизлар булимининг 06.03.2023 йилдаги 2 сонли васийлик кенгаши баёнига асосан Аёллар дафтаридаги Курбанбаева Амина Раматжон кизининг март,апрел,май ойлари ижара тулови узининг пластик карточкасига утказилди.пластик карточка раками 9860 0803 7316 3981; Ст. 48.21.190</t>
  </si>
  <si>
    <t>305122860332337109602018001~200212370~Янгиарик туман Хокимлиги "Аёллар дафтари" жамгармаси (Фонд-3051)~28.03.2023 йилдаги 12 сонли юридик суровнома Вазирлар Махкамасининг 31,03,2022 йилдаги 145 сонли карори ва Хотин кизлар булимининг 06.03.2023 йилдаги 2 сонли васийлик кенгаши баёнига асосан Аёллар дафтаридаги Султонова Нафосат Отабековнанинг март,апрел,май ойлари ижара тулови узининг пластик карточкасига утказилди.пластик карточка раками 8600 0609 9320 0725; Ст. 48.21.190</t>
  </si>
  <si>
    <t>305122860332337109602018001~200212370~Янгиарик туман Хокимлиги "Аёллар дафтари" жамгармаси (Фонд-3051)~28.03.2023 йилдаги 12 сонли юридик суровнома Вазирлар Махкамасининг 31,03,2022 йилдаги 145 сонли карори ва Хотин кизлар булимининг 06.03.2023 йилдаги 2 сонли васийлик кенгаши баёнига асосан Аёллар дафтаридаги Давлетова Этибор Мансур кизининг март,апрел,май ойлари ижара тулови узининг пластик карточкасига утказилди.пластик карточка раками 8600 0609 0313 5722; Ст. 48.21.190</t>
  </si>
  <si>
    <t>305122860332337109602018001~200212370~Янгиарик туман Хокимлиги "Аёллар дафтари" жамгармаси (Фонд-3051)~28.03.2023 йилдаги 12 сонли юридик суровнома Вазирлар Махкамасининг 31,03,2022 йилдаги 145 сонли карори ва Хотин кизлар булимининг 06.03.2023 йилдаги 2 сонли васийлик кенгаши баёнига асосан Аёллар дафтаридаги Рахимова Нафосат Олимбоевнанинг март,апрел,май ойлари ижара тулови узининг пластик карточкасига утказилди.пластик карточка раками 8600 0607 7465 5670; Ст. 48.21.190</t>
  </si>
  <si>
    <t>305122860332337109602018001~200212370~Янгиарик туман Хокимлиги "Аёллар дафтари" жамгармаси (Фонд-3051)~28.03.23й 12 сонли юридик суровнома Вазирлар Махкамасининг 31,03,22й 145 сонли карори ва Хотин кизлар булимининг 06.03.23й 2 сонли васийлик кенгаши баёнига асосан Аёллар дафтаридаги Султанова Зарафшон Кувандиковнанинг март,апрел,май ойлари ижара тулови ижарага берувчи Рахимова Рузигулнинг пластик карточкасига утказилди.пластик карточка раками 8600 0609 4194 8201; Ст. 48.21.190</t>
  </si>
  <si>
    <t>305122860332337109602018001~200212370~Янгиарик туман Хокимлиги "Аёллар дафтари" жамгармаси (Фонд-3051)~28.03.23й 12 сонли юридик суровнома Вазирлар Махкамасининг 31,03,22 й 145 сонли карори ва Хотин кизлар булимининг 06.03.23й 2 сонли васийлик кенгаши баёнига асосан Аёллар дафтаридаги Машарипова Лайло Озодовнанинг март,апрел,май ойлари ижара тулови ижарага берувчи Жуманиязова Зайнабнинг пластик карточкасига утказилди.пластик карточка раками 8600 0609 5765 3539; Ст. 48.21.190</t>
  </si>
  <si>
    <t>305122860332337109602018001~200212370~Янгиарик туман Хокимлиги "Аёллар дафтари" жамгармаси (Фонд-3051)~28.03.23й 12 сонли юридик суровнома Вазирлар Махкамасининг 31,03,22й 145 сонли карори ва Хотин кизлар булимининг 06.03.23й 2 сонли васийлик кенгаши баёнига асосан Аёллар дафтаридаги Гаппарова Зебо Аминбоевнанинг март,апрел,май ойлари ижара тулови ижарага берувчи Абдуллаева Кароматнинг пластик карточкасига утказилди.пластик карточка раками 8600 0610 3671 5091; Ст. 48.21.190</t>
  </si>
  <si>
    <t>305122860332337109602018001~200212370~Янгиарик туман Хокимлиги "Аёллар дафтари" жамгармаси (Фонд-3051)~28.03.23й 12 сонли юридик суровнома Вазирлар Махкамасининг 31,03,22 й 145 сонли карори ва Хотин кизлар булимининг 06.03.23 й 2 сонли васийлик кенгаши баёнига асосан Аёллар дафтаридаги Хажиева Зубайда Баходировнанинг март,апрел,май ойлари ижара тулови ижарага берувчи Хажиева Зухранинг пластик карточкасига утказилди.пластик карточка раками 9860 0825 7399 0098; Ст. 48.21.190</t>
  </si>
  <si>
    <t>305122860332337109602018001~200212370~Янгиарик туман Хокимлиги "Аёллар дафтари" жамгармаси (Фонд-3051)~28.03.23й 12 сонли юридик суровнома Вазирлар Махкамасининг 31,03,22й 145 сонли карори ва Хотин кизлар булимининг 06.03.23й 2 сонли васийлик кенгаши баёнига асосан Аёллар дафтаридаги Карлиева Садокат Пирназаровнанинг март,апрел,май ойлари ижара тулови ижарага берувчи Абдуллаева Махлиёнинг пластик карточкасига утказилди.пластик карточка раками 8600 0602 1870 1663; Ст. 48.21.190</t>
  </si>
  <si>
    <t>305122860332337109602018001~200212370~Янгиарик туман Хокимлиги "Аёллар дафтари" жамгармаси (Фонд-3051)~28.03.23й 12 сонли юридик суровнома Вазирлар Махкамасининг 31,03,22й 145 сонли карори ва Хотин кизлар булимининг 06.03.23й 2 сонли васийлик кенгаши баёнига а-н Аёллар дафтаридаги Маткаримова Гулчехра Камулжоновнанинг март,апрел,май ойлари ижара тулови ижарага берувчи Каримова Шохистанинг пластик карточкасига утказилди.пластик карточка раками 8600 0610 9581 5709; Ст. 48.21.190</t>
  </si>
  <si>
    <t>305122860332337109602018001~200212370~Янгиарик туман Хокимлиги "Аёллар дафтари" жамгармаси (Фонд-3051)~31.03.2023 йилдаги 2/2 сонли юридик суровнома Вазирлар Махкамасининг 31,03,2022 йилдаги 145 сонли карори ва Хотин кизлар булимининг 06.03.2023 йилдаги 2 сонли васийлик кенгаши баёнига асосан Аёллар дафтарига кирган аёлларга бир марталик моддий ёрдам пули учун 100% утказилди; Ст. 47.21.900</t>
  </si>
  <si>
    <t>CN-1169508</t>
  </si>
  <si>
    <t>09510~305122860332337109602018001~200212370~аёллар жамгармаси оплата 100% по договору №1169508 от 31.03.23 от 200212370(аёллар жамгармаси)</t>
  </si>
  <si>
    <t>ИТОГО ПО Отделение по Янгиарыкскому району</t>
  </si>
  <si>
    <t>Янгибозор туман Аеллар дафтари жамгармаси</t>
  </si>
  <si>
    <t>305122860332367109602018001 </t>
  </si>
  <si>
    <t>Гунча Лола МЧЖ</t>
  </si>
  <si>
    <t>20208000405381684001 </t>
  </si>
  <si>
    <t>305122860332367109602018001~201085807~Янгибозор туман Хокимлиги "Аёллар дафтари" жамгармаси (Фонд-3051)~Ayollar daftari jamgarmasi kengashining 03.03.2023y 2-son bayon. 03.03.2023y 6-yuridik majburiyatnomaga asosan xotin-qizlarni qo`llab-quvvatlash doirasida 8-mart madaniy tadbir xarajatlarini moliyalashtirish uchun 100% to`lov o`tkazildi.; Ст. 48.21.190</t>
  </si>
  <si>
    <t>ДТ Халк банкнинг Янгибозор филиали</t>
  </si>
  <si>
    <t>29848000000000819900 </t>
  </si>
  <si>
    <t>305122860332367109602018001~201085807~Янгибозор туман Хокимлиги "Аёллар дафтари" жамгармаси (Фонд-3051)~"Ayollar daftari" ining 03.03.2023 yildagi 2-bayoni. 07.03.2023 yildagi 7-yuridik majburiyatnomaga asosan 4-bosqich mablag`lar hisobidan "Ayollar daftari"ga kiritilgan ayollarning moddiy yordam pullari o`tkazildi.(88 nafar); Ст. 47.21.900</t>
  </si>
  <si>
    <t>Zohid Zebo Shifo MCHJ</t>
  </si>
  <si>
    <t>20208000300814017001 </t>
  </si>
  <si>
    <t>305122860332367109602018001~201085807~Янгибозор туман Хокимлиги "Аёллар дафтари" жамгармаси (Фонд-3051)~Ayollar daftari jamgarmasining 09.11.2022y 12-son bayoni qarori 09.03.2023y 1 k/k1-yuridik majburiyatnomaga asosan Isoyeva Malohatning davolanish xarajatiga oldindan 100% to`lov o`tkazildi.; Ст. 48.21.190</t>
  </si>
  <si>
    <t>"ХАЙВАТ-САВДО" ХУСУСИЙ ДУКОНИ</t>
  </si>
  <si>
    <t>20208000404287695001 </t>
  </si>
  <si>
    <t>305122860332367109602018001~201085807~Янгибозор туман Хокимлиги "Аёллар дафтари" жамгармаси (Фонд-3051)~Ayollar daftari jamgarmasi kengashining 03.10.2022y 10-son bayon qarori 23.03.2023y 15-02-shartnoma va 24,03,2023y 12-son schyot fakturaga asosan olingan oziq-ovqat maxsulotlari uchun 100% to`lov o`tkazildi.; Ст. 48.21.190</t>
  </si>
  <si>
    <t>305122860332367109602018001~201085807~Янгибозор туман Хокимлиги "Аёллар дафтари" жамгармаси (Фонд-3051)~Xorazm viloyat hokimining 17.03.2023 yildagi 2-KM qarori. 25.03.2023y 9-yuridik majburiyatnomaga asosan jamg`arma hisobidan homiylik xayriya mablag`lari oldindan 100% o`tkazildi.; Ст. 48.21.190</t>
  </si>
  <si>
    <t>ИТОГО ПО Отделение по Янгибазарскому району</t>
  </si>
  <si>
    <t>Хива туман аеллар дафтари жамгармаси</t>
  </si>
  <si>
    <t>305122860332267109602018001 </t>
  </si>
  <si>
    <t>ДТ Халк банкнинг Хива филиали</t>
  </si>
  <si>
    <t>29848000600000811901 </t>
  </si>
  <si>
    <t>07120~305122860332267109602018001~201960952~Хива туман Хокимлиги "Аёллар дафтари" жамгармаси (Фонд-3051)~Узбекистон Республикаси Вазирлар Махкамасининг 2022 йил 31 мартдаги 145-сон карори,23.03.2023 й Хива т Васийлик кенгашининг 1 с баёни карорига асосан аёллар дафтаридаги ижт химояга мухтож хотин-кизларга бир марталик моддий ёрдам пуллари учун утказилди.; Ст. 47.21.900</t>
  </si>
  <si>
    <t>305122860332267109602018001~201960952~Хива туман Хокимлиги "Аёллар дафтари" жамгармаси (Фонд-3051)~Хива тумани хокимининг 24.03.2023 й 2 QM сонли карори, 25.03.2023 й ю/с № М ф 1 га а-н утказилди.; Ст. 48.21.190</t>
  </si>
  <si>
    <t>23120000100000811100 </t>
  </si>
  <si>
    <t>305122860332267109602018001~201960952~Хива туман Хокимлиги "Аёллар дафтари" жамгармаси (Фонд-3051)~Давлетова Райхон пласт карта № 8600060950503491 Узбекистон Республикаси Вазирлар Махкамасининг 2022 йил 31 мартдаги 145-сон карори,23.03.2023 й Хива т Васийлик кенгашининг 1 с баёни карори,31.03.2023 й ю/с № А д д 1/2023 га асосан аёллар дафтарида хисобда турган Давлетова Райхон даволаниш харажатлари учун утказилди.; Ст. 48.21.190</t>
  </si>
  <si>
    <t>ИТОГО ПО Отделение по Хивинскому району</t>
  </si>
  <si>
    <t>Хива шахар хокимлиги Аеллар дафтари жамгармаси</t>
  </si>
  <si>
    <t>305122860334067109602018001 </t>
  </si>
  <si>
    <t>CLAY CASTLE-BUILDING МЧЖ</t>
  </si>
  <si>
    <t>20208000205282323001 </t>
  </si>
  <si>
    <t>305122860334067109602018001~305028600~Хива ш. Хокимлиги "Аёллар дафтари" жамгармаси (Фонд-3051)~10.03.2023 йил ю/с №2 ва Халк депутатлари Хива шахар кенгаши 11.04.2022 йил №VI-69-44-12-217-K/22 сонли карорига а-н шахардаги "Аёллар дафтари"га киритилган хотин кизларни уз узини бандлигини таъминлаш учун 100% тулов утказилди.; Ст. 48.21.190</t>
  </si>
  <si>
    <t>305122860334067109602018001~305028600~Хива ш. Хокимлиги "Аёллар дафтари" жамгармаси (Фонд-3051)~13.03.2023 йил ю/с №3 ва Халк депутатлари Хива шахар кенгаши 11.04.2022 йил №VI-69-44-12-217-K/22 сонли карорига а-н шахардаги "Аёллар дафтари"га киритилган хотин кизларни уз узини бандлигини таъминлаш учун 100% тулов утказилди.; Ст. 48.21.190</t>
  </si>
  <si>
    <t>Хива тумани Газначилик булинмаси</t>
  </si>
  <si>
    <t>23214000504625696995 </t>
  </si>
  <si>
    <t>07120~305122860334067109602018001~305028600~Хива ш. Хокимлиги "Аёллар дафтари" жамгармаси (Фонд-3051)~Васийлик кенгашининг 13.03.2023 йил №2 йигилиш баёнига асосан "Аёллар дафтари"га киритилган фукароларга бир марталик моддий ёрдам учун утказилди; Ст. 47.21.900</t>
  </si>
  <si>
    <t>305122860334067109602018001~305028600~Хива ш. Хокимлиги "Аёллар дафтари" жамгармаси (Фонд-3051)~27.03.2023 йил ю/с №4 ва Хива шахар хокимининг 25.03.2023 й №2 КМ асосан 100% утказилди.; Ст. 48.21.190</t>
  </si>
  <si>
    <t>ИТОГО ПО Отделение по г.Хива</t>
  </si>
  <si>
    <t>Аеллар дафтари жамгармаси</t>
  </si>
  <si>
    <t>305122860332217109602018001 </t>
  </si>
  <si>
    <t>Тупроккалъа тумани буйича Газначилик булинмаси</t>
  </si>
  <si>
    <t>29848000100000818900 </t>
  </si>
  <si>
    <t>07120~305122860332217109602018001~307305183~Тупроккалъа тумани Хокимлиги "Аёллар дафтари" жамгармаси (Фонд-3051)~"Аёллар дафтари" га киритилган аёлларни куллаб-кувватлаш жамгармаси Васийлик кенгашининг 16.03.2023 йил №-1-сонли йигилиши баёнига асосан БХМ 4 баравари микдорида 171 нафар аёлларга бир марталик моддий ёрдам пулларини бериш учун утказилди.; Ст. 47.21.900</t>
  </si>
  <si>
    <t>305122860332217109602018001~307305183~Тупроккалъа тумани Хокимлиги "Аёллар дафтари" жамгармаси (Фонд-3051)~Хоразм вилояти хокимининг 17.03.2023 йилдаги 2-qm-сонли карори ва Васийлик кенгашининг 25.03.2023й 2-сонли йигилиш баёни ижросини таъминлаш учун 25.03.2023 йилдаги 1-сонли юридик мажбурият буйича 100% тулов утказилди; Ст. 48.21.190</t>
  </si>
  <si>
    <t>09510~305122860332217109602018001~307305183~Тупроккалъа тумани Хокимлиги "Аёллар дафтари" жамгармаси (Фонд-3051)~29.03.2023-йилдаги 7-сонли юридик мажбурятга хамда "Аёллар дафтари"га к-н хотин кизларни кул-кув.жам. Васийлик кенг. 23.03.23й. 2-сонли баён-га асосан Султанова Шадмон Жуманиязовнанинг Даволаниш харажатлари учун100% тулов утказилди; Ст. 48.21.190</t>
  </si>
  <si>
    <t>09510~305122860332217109602018001~307305183~Тупроккалъа тумани Хокимлиги "Аёллар дафтари" жамгармаси (Фонд-3051)~29.03.2023-йилдаги 3-сонли юридик мажбурятга хамда "Аёллар дафтари"га к-н хотин кизларни кул-кув.жам. Васийлик кенг. 23.03.23й. 2-сонли баён-га асосан Жуманиязова Зулайханинг Даволаниш харажатлари учун 100% тулов утказилди; Ст. 48.21.190</t>
  </si>
  <si>
    <t>09510~305122860332217109602018001~307305183~Тупроккалъа тумани Хокимлиги "Аёллар дафтари" жамгармаси (Фонд-3051)~29.03.2023-йилдаги 5-сонли юридик мажбурятга хамда "Аёллар дафтари"га к-н хотин кизларни кул-кув.жам. Васийлик кенг. 23.03.23й. 2-сонли баён-га асосан Атаджанова Алеся Рахмановнанинг Даволаниш харажатлари учун 100% тулов утказилди; Ст. 48.21.190</t>
  </si>
  <si>
    <t>09510~305122860332217109602018001~307305183~Тупроккалъа тумани Хокимлиги "Аёллар дафтари" жамгармаси (Фонд-3051)~29.03.2023-йилдаги 2-сонли юридик мажбурятга хамда "Аёллар дафтари"га к-н хотин кизларни кул-кув.жам. Васийлик кенг. 23.03.23й. 2-сонли баён-га асосан Рахимова Муяссар Курбонбоевнанинг Даволаниш харажатлари учун 100% тулов утказилди; Ст. 48.21.190</t>
  </si>
  <si>
    <t>ЧП " Healthy Childrens"</t>
  </si>
  <si>
    <t>20208000200873534001 </t>
  </si>
  <si>
    <t>305122860332217109602018001~307305183~Тупроккалъа тумани Хокимлиги "Аёллар дафтари" жамгармаси (Фонд-3051)~29.03.2023-йилдаги 6-сонли юридик мажбурятга хамда "Аёллар дафтари"га к-н хотин кизларни кул-кув.жам. Васийлик кенг. 23.03.23й. 2-сонли баён-га асосан Мадрахимова Малика Рахматжон кизининг Даволаниш харажатлари учун 100% тулов утказилди; Ст. 48.21.190</t>
  </si>
  <si>
    <t>ООО "SPINE MED SYSTEMS"</t>
  </si>
  <si>
    <t>20208000000736273001 </t>
  </si>
  <si>
    <t>305122860332217109602018001~307305183~Тупроккалъа тумани Хокимлиги "Аёллар дафтари" жамгармаси (Фонд-3051)~29.03.2023-йилдаги 4-сонли юридик мажбурятга хамда "Аёллар дафтари"га к-н хотин кизларни кул-кув.жам. Васийлик кенг. 23.03.23й. 2-сонли баён-га асосан Олламова Дилрабо Зарипбаевнанинг Даволаниш харажатлари учун 100% тулов утказилди; Ст. 48.21.190</t>
  </si>
  <si>
    <t>OOOYUNUSOBOD MEDICAL CENTER</t>
  </si>
  <si>
    <t>20208000100922637001 </t>
  </si>
  <si>
    <t>305122860332217109602018001~307305183~Тупроккалъа тумани Хокимлиги "Аёллар дафтари" жамгармаси (Фонд-3051)~29.03.2023-йилдаги 8-сонли юридик мажбурятга хамда "Аёллар дафтари"га к-н хотин кизларни кул-кув.жам. Васийлик кенг. 23.03.23й. 2-сонли баён-га асосан Жуманиязова Гулдона Хажиевнани фарзанди Искандаров Жавлон Журабек углини Даволаниш харажатлари учун 100% тулов утказилди; Ст. 48.21.190</t>
  </si>
  <si>
    <t>07120~305122860332217109602018001~307305183~Тупроккалъа тумани Хокимлиги "Аёллар дафтари" жамгармаси (Фонд-3051)~"Аёллар дафтари" га киритилган аёлларни куллаб-кувватлаш жамгармаси Васийлик кенгашининг 25.03.2023 йил №-3-сонли йигилиши баёнига асосан БХМ 4 баравари микдорида 199 нафар аёлларга бир марталик моддий ёрдам пулларини бериш учун утказилди.; Ст. 47.21.900</t>
  </si>
  <si>
    <t>"PITNAK TEXNO CITY"МЧЖ</t>
  </si>
  <si>
    <t>20208000105337407001 </t>
  </si>
  <si>
    <t>305122860332217109602018001~307305183~Тупроккалъа тумани Хокимлиги "Аёллар дафтари" жамгармаси (Фонд-3051)~"Аёллар дафтари"га киритилган аёлларни куллаб-кувватлаш жамгармаси Васийлик кенгашининг 31.03.2023 йил 4-сонли йигилиши баёнига асоса Хотин-кизлар балансини шакллантириш учун суровнома бланкасини тайёрлатиб олиш учун 31.03.2023 йилдаги 50-сонли шартномага асосан олдиндан 30% тулов утказилди; Ст. 48.21.190</t>
  </si>
  <si>
    <t>305122860332217109602018001~307305183~Тупроккалъа тумани Хокимлиги "Аёллар дафтари" жамгармаси (Фонд-3051)~"Аёллар дафтари"га киритилган аёлларни куллаб-кувватлаш жамгармаси Васийлик кенгашининг 31.03.2023 йил 4-сонли йигилиши баёнига асоса Хотин-кизлар балансини шакллантириш учун суровнома бланкасини тайёрлатиб олиш учун 31.03.2023 йилдаги 50-сонли шартнома ва 31.03.2023 йилдаги 9-сонли хисобварак фактурага асосан 70% тулов утказилди; Ст. 48.21.190</t>
  </si>
  <si>
    <t>ИТОГО ПО Отделение по Тупроккалинскому району</t>
  </si>
  <si>
    <t>ИТОГО ПО ХОРЕЗМСКАЯ ОБЛАСТЬ</t>
  </si>
  <si>
    <t>Время формирования: 13:04:46</t>
  </si>
  <si>
    <t>с 05.01.2023 по 31.03.2023</t>
  </si>
  <si>
    <t>Отчет сгенерирован: 03.04.2023 года 13.04.46</t>
  </si>
  <si>
    <t>09510~305122860334017109602018001~201753140~Урганч шахар хокимлиги~06,01,2023йил 2 юридик суровномага асосан биржа хизмати учун 0,15% утказилди 100%; Ст. 48.21.140</t>
  </si>
  <si>
    <t>INDJI TEXTILE XK</t>
  </si>
  <si>
    <t>20208000705464939001 </t>
  </si>
  <si>
    <t>305122860334017109602018001~201753140~Урганч шахар Хокимлиги "Аёллар дафтари" жамгармаси (Фонд-3051)~(16,01,2023й 2 юридик суровнома) УРВМ31.03.2022йил145сон к 3-параг 21 хатбоши ва 28,11,2022йил №12Урганч шахар Васийлик кенгаши= йигилиш б-и ва 10,10,2022й №30 шартномага а-н Аёллар дафтарига киритилган Бабажанова Нукулжаннинг уз узини банд килиш у-н Субсидия; Ст. 48.21.190</t>
  </si>
  <si>
    <t>305122860334017109602018001~201753140~Урганч шахар Хокимлиги "Аёллар дафтари" жамгармаси (Фонд-3051)~(16,01,2023й 1 юридик суровнома) УРВМ31.03.2022йил145сон к 3-параг 21 хатбоши ва 28,11,2022йил №12Урганч шахар Васийлик кенгаши= йигилиш б-и ва 10,10,2022й №30 шартномага а-н Аёллар дафтарига киритилган Сапева Рано уз узини банд килиш у-н Субсидия; Ст. 48.21.190</t>
  </si>
  <si>
    <t>29801000400010908333 </t>
  </si>
  <si>
    <t>305122860334017109602018001~201753140~Урганч шахар Хокимлиги "Аёллар дафтари" жамгармаси (Фонд-3051)~(19,01,2023й 3 юридик суровнома) УРВМ31.03.2022йил145сон карори ва 27,12,2022й №13Урганч шахар Васийлик кенгаши= йигилиш б-и ва 16,11,2022й №2Р/3 шартномага а-н Рузметова Динара Машарибовнанинг имтиёзли кредит асосида уй жой учун бошлангич туловии у-н С-я(20206000961215024522 омонат раками); Ст. 48.21.190</t>
  </si>
  <si>
    <t>CN-1014984</t>
  </si>
  <si>
    <t>09510~305122860334017109602018001~201753140~Урганч шахар Аёл жамгармаси оплата 100% по договору №1014984 от 25/ЯНВ/23 от 201753140(Урганч шахар Аёл жамгармаси)</t>
  </si>
  <si>
    <t>CN-1016076</t>
  </si>
  <si>
    <t>09510~305122860334017109602018001~201753140~Урганч шахар Аёл жамгармаси оплата 100% по договору №1016076 от 25/ЯНВ/23 от 201753140(Урганч шахар Аёл жамгармаси)</t>
  </si>
  <si>
    <t>CN-1017266</t>
  </si>
  <si>
    <t>09510~305122860334017109602018001~201753140~Урганч шахар Аёл жамгармаси оплата 100% по договору №1017266 от 26/ЯНВ/23 от 201753140(Урганч шахар Аёл жамгармаси)</t>
  </si>
  <si>
    <t>CN-1017271</t>
  </si>
  <si>
    <t>09510~305122860334017109602018001~201753140~Урганч шахар Аёл жамгармаси оплата 100% по договору №1017271 от 26/ЯНВ/23 от 201753140(Урганч шахар Аёл жамгармаси)</t>
  </si>
  <si>
    <t>CN-1023673</t>
  </si>
  <si>
    <t>09510~305122860334017109602018001~201753140~Урганч шахар Аёл жамгармаси оплата 100% по договору №1023673 от 29/ЯНВ/23 от 201753140(Урганч шахар Аёл жамгармаси)</t>
  </si>
  <si>
    <t>CN-1023674</t>
  </si>
  <si>
    <t>09510~305122860334017109602018001~201753140~Урганч шахар Аёл жамгармаси оплата 100% по договору №1023674 от 29/ЯНВ/23 от 201753140(Урганч шахар Аёл жамгармаси)</t>
  </si>
  <si>
    <t>CN-1023675</t>
  </si>
  <si>
    <t>09510~305122860334017109602018001~201753140~Урганч шахар Аёл жамгармаси оплата 100% по договору №1023675 от 29/ЯНВ/23 от 201753140(Урганч шахар Аёл жамгармаси)</t>
  </si>
  <si>
    <t>CN-1023676</t>
  </si>
  <si>
    <t>09510~305122860334017109602018001~201753140~Урганч шахар Аёл жамгармаси оплата 100% по договору №1023676 от 29/ЯНВ/23 от 201753140(Урганч шахар Аёл жамгармаси)</t>
  </si>
  <si>
    <t>CN-1023678</t>
  </si>
  <si>
    <t>09510~305122860334017109602018001~201753140~Урганч шахар Аёл жамгармаси оплата 100% по договору №1023678 от 29/ЯНВ/23 от 201753140(Урганч шахар Аёл жамгармаси)</t>
  </si>
  <si>
    <t>CN-1029668</t>
  </si>
  <si>
    <t>09510~305122860334017109602018001~201753140~Урганч шахар Аёл жамгармаси оплата 100% по договору №1029668 от 02/ФЕВ/23 от 201753140(Урганч шахар Аёл жамгармаси)</t>
  </si>
  <si>
    <t>CN-1029669</t>
  </si>
  <si>
    <t>09510~305122860334017109602018001~201753140~Урганч шахар Аёл жамгармаси оплата 100% по договору №1029669 от 02/ФЕВ/23 от 201753140(Урганч шахар Аёл жамгармаси)</t>
  </si>
  <si>
    <t>CN-1029670</t>
  </si>
  <si>
    <t>09510~305122860334017109602018001~201753140~Урганч шахар Аёл жамгармаси оплата 100% по договору №1029670 от 02/ФЕВ/23 от 201753140(Урганч шахар Аёл жамгармаси)</t>
  </si>
  <si>
    <t>CN-1034962</t>
  </si>
  <si>
    <t>09510~305122860334017109602018001~201753140~Урганч шахар Аёл жамгармаси оплата 100% по договору №1034962 от 04/ФЕВ/23 от 201753140(Урганч шахар Аёл жамгармаси)</t>
  </si>
  <si>
    <t>09510~305122860334017109602018001~201753140~Урганч шахар Хокимлиги "Аёллар дафтари" жамгармаси (Фонд-3051)~09,02,2023йил 1 сон юридик суровномага асосан биржа хизмати учун 100% утказилди (0,15%); Ст. 48.21.140</t>
  </si>
  <si>
    <t>CN-1063324</t>
  </si>
  <si>
    <t>09510~305122860334017109602018001~201753140~Урганч шахар Аёл жамгармаси оплата 100% по договору №1063324 от 16/ФЕВ/23 от 201753140(Урганч шахар Аёл жамгармаси)</t>
  </si>
  <si>
    <t>305122860334017109602018001~201753140~Урганч шахар Хокимлиги "Аёллар дафтари" жамгармаси (Фонд-3051)~УРВМ=31.03.2023йил145-сонли карор ва 07,02,2023йил Аёллар-дафтарига киритилган хотин кизларни ижтимойи куллаб-кувватлаш буйича васийлик кенгаши. 21,02,2023йил 4 сонли шартномага асосан урганч шахридаги кам таъминланган аёлларнинг болалрига мактаб фурмаси учун олдиндан тулов 30% утказилди лот23110012229320; Ст. 42.52.200</t>
  </si>
  <si>
    <t>305122860334017109602018001~201753140~Урганч шахар Хокимлиги "Аёллар дафтари" жамгармаси (Фонд-3051)~УРВМ=31.03.2023йил145-сонли карор ва 07,02,2023йил Аёллар-дафтарига киритилган хотин кизларни ижтимойи куллаб-кувватлаш буйича васийлик кенгаши. 21,02,2023йил 4 сонли шартнома ва 23,02,2023йил 1 сонли счет фактурага асосан урганч шахридаги кам таъминланган аёлларнинг болалрига мактаб фурмаси учун 70% утказилди лот23110012229320; Ст. 42.52.200</t>
  </si>
  <si>
    <t>09510~305122860332127109602018001~200905774~Кушкупир т. Хокимлиги "Аёллар дафтари" жамгармаси (Фонд-3051)~Аёллар дафтарига киритилган аёлларни куллаб кувватлаш жамгармаси Васийлик кенгашининг 2022 йил 5-декабрдаги №17 сонли баёни ва 10,01,2023 йилдаги №1 юридик суровга асосан Саидова Хабиби Бекчановнани тулов контракти учун контракти учун утказилди.; Ст. 42.91.000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</si>
  <si>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2023 йил 11-январдаги №2 юридик суровга асосан бир марталик моддий ёрдам пули. утказилди.; Ст. 47.21.900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</si>
  <si>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2022 йил 27-декабрдаги 20-сонли баёни ва 19,01,2023 йилдаги №3 юридик суровга асосан бир марталик моддий ёрдам пули. утказилди.; Ст. 47.21.900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</si>
  <si>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2022 йил 28-ноябрдаги 16-сонли баёни ва 19,01,2023 йилдаги №4 юридик суровга асосан компенсация пули. утказилди.; Ст. 47.21.900</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</si>
  <si>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2022 йил 29-декабрдаги 21-сонли баёни ва 26,01,2023 йилдаги №10 юридик суровга асосан даволаниш ва дори воситалари олиш учун моддий ёрдам пули утказилди.; Ст. 47.21.900</t>
  </si>
  <si>
    <t>CN-1031348</t>
  </si>
  <si>
    <t>09510~305122860332127109602018001~200905774~Кушкупир т Аелларни ижтимоий кул кув жа оплата 100% по договору №1031348 от 03/ФЕВ/23 от 200905774(Кушкупир т Аелларни ижтимоий кул кув жа)</t>
  </si>
  <si>
    <t>305122860332127109602018001~200905774~Кушкупир т. Хокимлиги "Аёллар дафтари" жамгармаси (Фонд-3051)~Аёллар дафтарига киритилган аёлларни куллаб кувватлаш комсисиясиниг баёнин ва 2022 йил 29-декабрдаги 21-сонли баёни ва 13,02,2023 йилдаги №11 юридик суровга асосан даволаниш ва дори воситалари олиш учун моддий ёрдам пули утказилди.; Ст. 47.21.900</t>
  </si>
  <si>
    <t>CN-1057830</t>
  </si>
  <si>
    <t>09510~305122860332127109602018001~200905774~Кушкупир т Аелларни ижтимоий кул кув жа оплата 100% по договору №1057830 от 15/ФЕВ/23 от 200905774(Кушкупир т Аелларни ижтимоий кул кув жа)</t>
  </si>
  <si>
    <t>07210~305122860332177109602018001~201901724~Урганч туман Хокимлиги "Аёллар дафтари" жамгармаси (Фонд-3051)~Аёллар масаласи буйича васийлик кенгашининг 13.02.2023й №2 йигилиш карорига асосан Урганч тумани "Аёллар дафтари" жамгармасидан 834 нафар аёлларга бир марталик моддий ёрдам пули таркатиш учун утказилди; Ст. 47.21.900</t>
  </si>
  <si>
    <t>CN-1090488</t>
  </si>
  <si>
    <t>09510~305122860332177109602018001~201901724~Урганч туман Аеллар дафтари жамгармаси оплата 100% по договору №1090488 от 26-FEB-23 от 201901724(Урганч туман Аеллар дафтари жамгармаси)</t>
  </si>
  <si>
    <t>CN-1090485</t>
  </si>
  <si>
    <t>09510~305122860332177109602018001~201901724~Урганч туман Аеллар дафтари жамгармаси оплата 100% по договору №1090485 от 26-FEB-23 от 201901724(Урганч туман Аеллар дафтари жамгармаси)</t>
  </si>
  <si>
    <t>"KO`MIR TA`MINOT" MChJ</t>
  </si>
  <si>
    <t>20208000904794416001 </t>
  </si>
  <si>
    <t>305122860332237109602018001~202374374~Хонка туман Хокимлиги "Аёллар дафтари" жамгармаси (Фонд-3051)~?Аёллар дафтари? жамгармаси Васийлик кенгашининг 10.02.2023 йил № 1-сонли баёни ва 13.02.2023 йил № 13-ХОР-сонли шартнома хамда 14.02.2023 йил № 9-сонли хисоб-фактурага асосан "Аёллар дафтарига" киритилган ижтимоий химояга мухтож фукароларга таркатилган кумир учун 100 % тулов утказилади.; Ст. 42.52.600</t>
  </si>
  <si>
    <t>CN-1068387</t>
  </si>
  <si>
    <t>09510~305122860332237109602018001~202374374~Хонка туман Хокимлиги Аёллар жамгармаси оплата 100% по договору №1068387 от 18/ФЕВ/23 от 202374374(Хонка туман Хокимлиги Аёллар жамгармаси)</t>
  </si>
  <si>
    <t>305122860332337109602018001~200212370~Янгиарик туман Хокимлиги "Аёллар дафтари" жамгармаси (Фонд-3051)~06,01,2023 йилдаги 24-хор сонли юридик суровнома халк депутатлар кенгашининг 01,11,2022 йилдаги VI-82-159-12-179-K/22 сонли карорига асосан аёллар дафтаридаги аёлларга кумир таркатиш учун утказилди; Ст. 48.21.190</t>
  </si>
  <si>
    <t>305122860332337109602018001~200212370~Янгиарик туман Хокимлиги "Аёллар дафтари" жамгармаси (Фонд-3051)~07,01,2023 йилдаги 5 сонли юридик суровнома ва туман хотин кизлар булимининг 21,11,2022 йилдаги васийлик кенгаши 9 сонли баёнига асосан аёллар дафтаридаги Матёкубова Жамиланинг декабр ойлари ижара пули узининг пластик карточкасига утказилди.пластик карточка раками 6262910094096989; Ст. 48.21.190</t>
  </si>
  <si>
    <t>305122860332337109602018001~200212370~Янгиарик туман Хокимлиги "Аёллар дафтари" жамгармаси (Фонд-3051)~07,01,2023 йилдаги 5 сонли юридик суровнома ва туман хотин кизлар булимининг 21,11,2022 йилдаги васийлик кенгаши 9 сонли баёнига асосан аёллар дафтаридаги Юсупова Нилуфарнинг сентябр,октябр,ноябр,декабр ойлари ижара пули ижарага берувчи Ражабова Зубайданинг пластик карточкасига утказилди.пластик карточка раками 9860080373760919; Ст. 48.21.190</t>
  </si>
  <si>
    <t>305122860332337109602018001~200212370~Янгиарик туман Хокимлиги "Аёллар дафтари" жамгармаси (Фонд-3051)~07,01,2023 йилдаги 5 сонли юридик суровнома ва туман хотин кизлар булимининг 21,11,2022 йилдаги васийлик кенгаши 9 сонли баёнига асосан аёллар дафтаридаги Рузметова Лайлонинг сентябр,октябр,ноябр,декабр ойлари ижара пули узининг пластик карточкасига утказилди.пластик карточка раками 8600060962998317; Ст. 48.21.190</t>
  </si>
  <si>
    <t>ОАТБ Агробанкнинг Янгиарик филиали</t>
  </si>
  <si>
    <t>23120000000000563001 </t>
  </si>
  <si>
    <t>305122860332337109602018001~200212370~Янгиарик туман Хокимлиги "Аёллар дафтари" жамгармаси (Фонд-3051)~Вазирлар махкамасининг 31.03.2022й 145 сонли карорнинг 4 боб 6-параграф 34 банди, туман хотин кизлар булимининг 21,11,2022й 9 сонли баёнига асосан аёллар дафтаридаги Каримова Максуданинг ижара пули узининг пластик карточкасига утказилди.пластик карточка раками 8600041724344800; Ст. 48.21.190</t>
  </si>
  <si>
    <t>305122860332337109602018001~200212370~Янгиарик туман Хокимлиги "Аёллар дафтари" жамгармаси (Фонд-3051)~09,01,2023 йилдаги 6 сонли юридик суровнома Вазирлар махкамасининг 31.03.2022й 145 сонли карорнинг 4 боб 6-параграф 34 банди, туман хотин кизлар булимининг 09,12,2022й 10сонли баёнига асосан аёллар дафтаридаги Ниёзметова Зийнатнинг ижара пули ижарага берувчи Ниёзметов Одамбойнинг пластик карточкасига утказилди.пластик карточка раками 8600061086514238; Ст. 48.21.190</t>
  </si>
  <si>
    <t>305122860332337109602018001~200212370~Янгиарик туман Хокимлиги "Аёллар дафтари" жамгармаси (Фонд-3051)~09,01,2023 йилдаги 7 сонли юридик суровнома Вазирлар махкамасининг 31.03.2022й 145 сонли карорнинг 4 боб 6-параграф 34 банди, туман хотин кизлар булимининг 21,11,2022й 9 сонли баёнига асосан аёллар дафтаридаги Аминова Хилоланинг ижара пули ижарага берувчи Каримов Жахонгирнинг пластик карточкасига утказилди.пластик карточка раками 8600042368373402; Ст. 48.21.190</t>
  </si>
  <si>
    <t>08102~4014228607332333422373255~305122860332337109602018001~200212370~Янгиарик туман Хокимлиги "Аёллар дафтари" жамгармаси (Фонд-3051)~10,01,2023 йилдаги 59749747 сонли юридик суровнома ва туман хотин кизлар булимининг 09,12,2022 йилдаги 10 сонли баёнига асосан аёллар дафтаридаги Юркова Елена Викторовнанинг кадастр паспортнини шакллантириш учун утказилди.инвойс раками 93287619240084; Ст. 48.21.190</t>
  </si>
  <si>
    <t>305122860332337109602018001~200212370~Янгиарик туман Хокимлиги "Аёллар дафтари" жамгармаси (Фонд-3051)~09,01,2023 йилдаги 6 сонли юридик суровнома Вазирлар махкамасининг 31.03.2022й 145 сонли карорнинг 4 боб 6-параграф 34 банди, туман хотин кизлар булимининг 09,12,2022й 10сонли баёнига асосан аёллар дафтаридаги Бобожонова Индиранинг ижара пули узининг пластик карточкасига утказилди.пластик карточка раками 8600060944915470; Ст. 48.21.190</t>
  </si>
  <si>
    <t>POYTAXT FARM WEST</t>
  </si>
  <si>
    <t>20208000705440596001 </t>
  </si>
  <si>
    <t>305122860332337109602018001~200212370~Янгиарик туман Хокимлиги "Аёллар дафтари" жамгармаси (Фонд-3051)~Вазирлар махкамасининг 31.03.2022 йилдаги 145 сонли карор 36 банд 2 иловаси Аёллар дафтари васийлик кенгашининг 2022 йил 9 декабрдаги 10 сонли баёнига 25.01.2023 йил №1 сонли юридик мажбуриятга асосан аёллар дафтаридаги Мейлиева Мухлисанинг ногирон фарзандига дори дармон олиш учун 100% утказилди; Ст. 48.21.190</t>
  </si>
  <si>
    <t>305122860332337109602018001~200212370~Янгиарик туман Хокимлиги "Аёллар дафтари" жамгармаси (Фонд-3051)~26,01,2023 йилдаги 1 сонли юридик суровнома Вазирлар Махкамасининг 31,03,2022 йилдаги 145 сонли карорининг 2 илова 12-банди ва Хотин кизлар булимининг 09.12.2022 йилдаги 10 сонли васийлик кенгаши баёнига асосан Аёллар дафтари жамгармаси маблаглари хисобидан аёллар дафтарига киритилган Сапаева Ширин учун бир марталик моддий ёрдам утказилди; Ст. 48.21.190</t>
  </si>
  <si>
    <t>CN-1058694</t>
  </si>
  <si>
    <t>09510~305122860332337109602018001~200212370~аёллар жамгармаси оплата 100% по договору №1058694 от 15/ФЕВ/23 от 200212370(аёллар жамгармаси)</t>
  </si>
  <si>
    <t>CN-1058745</t>
  </si>
  <si>
    <t>09510~305122860332337109602018001~200212370~аёллар жамгармаси оплата 100% по договору №1058745 от 15/ФЕВ/23 от 200212370(аёллар жамгармаси)</t>
  </si>
  <si>
    <t>Gullanbog` gold chicken</t>
  </si>
  <si>
    <t>20208000305572599001 </t>
  </si>
  <si>
    <t>305122860332337109602018001~200212370~Янгиарик туман Хокимлиги "Аёллар дафтари" жамгармаси (Фонд-3051)~21,02,2023 йилдаги №5 сонли юридик мажбуриятга Вазирлар махкамасининг 31.03.2022 йилдаги 145 сонли карорининг 2 иловаси 31 бандига 2022 йил 9 декабрдаги №10 сонли Васийлик кенгашининг баёнига асосан аёллар дафтаридаги аёлларга учун субсидия 100% утказилди; Ст. 48.21.190</t>
  </si>
  <si>
    <t>305122860332337109602018001~200212370~Янгиарик туман Хокимлиги "Аёллар дафтари" жамгармаси (Фонд-3051)~Вазирлар махкамасининг 31.03.2022 йилдаги 145 сонли карор 36 банд 2 иловаси Аёллар дафтари васийлик кенгашининг 2022 йил 9 декабрдаги 10 сонли баёнига 24.02.2023 йил №9 сонли юридик мажбуриятга асосан аёллар дафтаридаги Мейлиева Мухлисанинг ногирон фарзандига дори дармон олиш учун 100% утказилди; Ст. 48.21.190</t>
  </si>
  <si>
    <t>305122860332337109602018001~200212370~Янгиарик туман Хокимлиги "Аёллар дафтари" жамгармаси (Фонд-3051)~24,02,2023 йилдаги №5/1 сонли юридик мажбуриятга Вазирлар махкамасининг 31.03.2022 йилдаги 145 сонли карорининг 2 иловаси 31 бандига 2022 йил 9 декабрдаги №10 сонли Васийлик кенгашининг баёнига асосан аёллар дафтаридаги аёлларга учун субсидия 100% утказилди; Ст. 48.21.190</t>
  </si>
  <si>
    <t>305122860332367109602018001~201085807~Янгибозор туман Хокимлиги "Аёллар дафтари" жамгармаси (Фонд-3051)~Ayollar daftari jamgarmasining 05.12.2022y 14-son bayon qarori 09.01.2022y 1-yuridik majburiyatnomaga asosan Tangrieva Mexribonning davolanish xarajatiga oldindan 100% to`lov o`tkazildi.; Ст. 48.21.190</t>
  </si>
  <si>
    <t>20208000105381684001 </t>
  </si>
  <si>
    <t>305122860332367109602018001~201085807~Янгибозор туман Хокимлиги "Аёллар дафтари" жамгармаси (Фонд-3051)~Ayollar daftari jamgarmasi kengashining 03.10.2022y 10-son bayon qarori 31.01.2023y 02/02-shartnomaga va 03,02,2023y 5-son schyot fakturaga asosan olingan oziq-ovqat maxsulotlari uchun 100% to`lov o`tkazildi.; Ст. 48.21.190</t>
  </si>
  <si>
    <t>23120000500000819100 </t>
  </si>
  <si>
    <t>305122860332367109602018001~201085807~Янгибозор туман Хокимлиги "Аёллар дафтари" жамгармаси (Фонд-3051)~"Ayollar daftari" jamg`armasining 01.12.2022 yildagi 13-bayoni. 06.02.2022 yildagi 2-yuridik majburiyatnomaga asosan Jamg`armaning 3-bosqich mablag`lari hisobidan "Ayollar daftari"ga kiritilgan Avazova Zulfiyaning uy-joyining ijara to`lovi Axmedov Ibodullaning plastik kartasiga o`tkazildi.8600 0610 9704 0025; Ст. 48.21.190</t>
  </si>
  <si>
    <t>ОАТБ "Агробанк" Янгибозор булими</t>
  </si>
  <si>
    <t>23120000900000574001 </t>
  </si>
  <si>
    <t>305122860332367109602018001~201085807~Янгибозор туман Хокимлиги "Аёллар дафтари" жамгармаси (Фонд-3051)~"Ayollar daftari" jamg`armasining 01.12.2022 yildagi 13-bayoni. 06.02.2022 yildagi 2-yuridik majburiyatnomaga asosan Jamg`armaning 3-bosqich mablag`lari hisobidan "Ayollar daftari"ga kiritilganlarning uy-joyining ijara to`lovi ro`yxatga asosan plastik kartalariga o`tkazildi.; Ст. 48.21.190</t>
  </si>
  <si>
    <t>23120000900000819300 </t>
  </si>
  <si>
    <t>INFINBANK Хоразм вилоят филиали</t>
  </si>
  <si>
    <t>23120000800001129001 </t>
  </si>
  <si>
    <t>305122860332367109602018001~201085807~Янгибозор туман Хокимлиги "Аёллар дафтари" жамгармаси (Фонд-3051)~"Ayollar daftari" jamg`armasining 01.12.2022 yildagi 13-bayoni. 06.02.2022 yildagi 5-yuridik majburiyatnomaga asosan Jamg`armaning 3-bosqich mablag`lari hisobidan "Ayollar daftari"ga kiritilgan Matsapayeva Gulzodaning uy-joyining ijara to`lovi Atamuratov Shamuratning plastik kartasiga o`tkazildi.8600 6304 8385 0882; Ст. 48.21.190</t>
  </si>
  <si>
    <t>CN-1065715</t>
  </si>
  <si>
    <t>09510~305122860332367109602018001~201085807~Янгибозор т аёллар дафтари жамгармаси оплата 100% по договору №1065715 от 17/ФЕВ/23 от 201085807(Янгибозор т аёллар дафтари жамгармаси)</t>
  </si>
  <si>
    <t>"FIDO-SHIFO TIBBIY TM" mas?uliyati cheklangan jamiyati</t>
  </si>
  <si>
    <t>20208000205389994001 </t>
  </si>
  <si>
    <t>305122860334067109602018001~305028600~Хива ш. Хокимлиги "Аёллар дафтари" жамгармаси (Фонд-3051)~22.02.2023 йил ю/с №1 ва Васийлик кенгашининг 22.02.2023 йил №1 сонли йигилиш баёнига асосан "Гулшан-2" МФЙ Кухна Хива кучасида яшовчи Сапаева Гулёрнинг даволаниши учун 100% тулов утказилди.; Ст. 48.21.190</t>
  </si>
  <si>
    <t>Апрел ойи моддий ёрдам</t>
  </si>
  <si>
    <t>01.05.2023 йил ҳолатига</t>
  </si>
  <si>
    <r>
      <t xml:space="preserve">Туман (шаҳар) маҳаллий бюджетларининг 2023 йил давомида маҳаллий бюджетнинг қўшимча манбалари  ҳисобидан </t>
    </r>
    <r>
      <rPr>
        <b/>
        <u/>
        <sz val="18"/>
        <color rgb="FFFF0000"/>
        <rFont val="Arial"/>
        <family val="2"/>
        <charset val="204"/>
      </rPr>
      <t>"Ёшлар дафтари"</t>
    </r>
    <r>
      <rPr>
        <b/>
        <sz val="18"/>
        <rFont val="Arial"/>
        <family val="2"/>
        <charset val="204"/>
      </rPr>
      <t xml:space="preserve"> ва </t>
    </r>
    <r>
      <rPr>
        <b/>
        <u/>
        <sz val="18"/>
        <color rgb="FFFF0000"/>
        <rFont val="Arial"/>
        <family val="2"/>
        <charset val="204"/>
      </rPr>
      <t>"Аёллар</t>
    </r>
    <r>
      <rPr>
        <b/>
        <u/>
        <sz val="18"/>
        <rFont val="Arial"/>
        <family val="2"/>
        <charset val="204"/>
      </rPr>
      <t xml:space="preserve"> </t>
    </r>
    <r>
      <rPr>
        <b/>
        <u/>
        <sz val="18"/>
        <color rgb="FFFF0000"/>
        <rFont val="Arial"/>
        <family val="2"/>
        <charset val="204"/>
      </rPr>
      <t>дафтари"</t>
    </r>
    <r>
      <rPr>
        <b/>
        <sz val="18"/>
        <rFont val="Arial"/>
        <family val="2"/>
        <charset val="204"/>
      </rPr>
      <t xml:space="preserve"> жамғармаларга ажратилган маблағлар тўғрисидаги </t>
    </r>
  </si>
  <si>
    <t>1-чорак</t>
  </si>
  <si>
    <t>Эркин колдик</t>
  </si>
  <si>
    <t>Счет № 2214244990</t>
  </si>
  <si>
    <t>Ижтимоий ёрдамга муҳтож I ва II гуруҳ ногирони бўлган хотин-қизлар</t>
  </si>
  <si>
    <t>Прочее</t>
  </si>
  <si>
    <t>номи</t>
  </si>
  <si>
    <t>1-тоифа</t>
  </si>
  <si>
    <t>Услуга банка</t>
  </si>
  <si>
    <t>Кайтган</t>
  </si>
  <si>
    <t>Моддий ердам учун чикарилган</t>
  </si>
  <si>
    <t>Итог</t>
  </si>
  <si>
    <t>СОНИ</t>
  </si>
  <si>
    <t>ТУЛАНГАН СУММАСИ</t>
  </si>
  <si>
    <t>ЖАМИ СУММА</t>
  </si>
  <si>
    <t>1-сектор раҳбари (Ҳоким)</t>
  </si>
  <si>
    <t>__________________</t>
  </si>
  <si>
    <t>Имзо</t>
  </si>
  <si>
    <t>(Ф.И.Ш)</t>
  </si>
  <si>
    <t>2-сектор раҳбари (Прокурор)</t>
  </si>
  <si>
    <t>3-сектор раҳбари (ИИБ)</t>
  </si>
  <si>
    <t>4-сектор раҳбари (Солиқ)</t>
  </si>
  <si>
    <t>Туман (шаҳар) ҳокимининг биринчи ўринбосари</t>
  </si>
  <si>
    <t>Туман (шаҳар) хокими ўринбосари оила ва хотин қизлар бўлими бошлиғи васийлик кенгаши раиси:</t>
  </si>
  <si>
    <t>Туман (шаҳар) иқтисодиёт ва молия бўлими бошлиғи:</t>
  </si>
  <si>
    <t>1-тоифа, 2та аел/Услуга банка</t>
  </si>
  <si>
    <t>Вилоят</t>
  </si>
  <si>
    <t>Май ойи моддий ёрдам</t>
  </si>
  <si>
    <t>Фармойиш қабул қилинмаган миқдори</t>
  </si>
  <si>
    <t xml:space="preserve">Кайтган ва кайта тулов килинган </t>
  </si>
  <si>
    <t>Счет № 2214355300</t>
  </si>
  <si>
    <t>Счет № 2214252110</t>
  </si>
  <si>
    <t>код валюты "860"</t>
  </si>
  <si>
    <t>01.06.2023 йил ҳолатига</t>
  </si>
  <si>
    <t>1-тоифа 12 та, 3-тоифа 3 та, 6-тоифа 2 та, 4-тоифа 2 та, 5-тоифа 1 та ва банк услуги</t>
  </si>
  <si>
    <t>1-тоифадаги 8 та аёл, 5 тоифадаги 1 та аёл. банк услуг</t>
  </si>
  <si>
    <t>Июн ойи моддий ёрдам</t>
  </si>
  <si>
    <t>1000    қайтган</t>
  </si>
  <si>
    <t>Июл ойи моддий ёрдам</t>
  </si>
  <si>
    <t>01.07.2023 йил ҳолатига</t>
  </si>
  <si>
    <t>5-тофа 7 нафарга ижара учун</t>
  </si>
  <si>
    <t>3-тоифа 1 та, 4-тоифа 2та, 6-тоифа 1 та  ва банк услуги</t>
  </si>
  <si>
    <t>1-тоифа 74 нафар 2,640                           4-тоифа 2 нафар 8,580 тиббий ёрдам</t>
  </si>
  <si>
    <t>5-тоифа 1 та 660, банк услуг 450</t>
  </si>
  <si>
    <t xml:space="preserve"> банк услуг</t>
  </si>
  <si>
    <t>01.08.2023 йил ҳолатига</t>
  </si>
  <si>
    <t>2-чорак</t>
  </si>
  <si>
    <t>қайтган</t>
  </si>
  <si>
    <t>`</t>
  </si>
  <si>
    <t>Счет № 2214354920</t>
  </si>
  <si>
    <t>Счет № 2214354100</t>
  </si>
  <si>
    <t>3-чорак</t>
  </si>
  <si>
    <t>Август ойи моддий ёрдам</t>
  </si>
  <si>
    <t>Сентябр ойи моддий ёрдам</t>
  </si>
  <si>
    <t>Октябр ойи моддий ёрдам</t>
  </si>
  <si>
    <t>01.09.2023 йил ҳолатига</t>
  </si>
  <si>
    <t>01.10.2023 йил ҳолатига</t>
  </si>
  <si>
    <t>01.11.2023 йил ҳолатига</t>
  </si>
  <si>
    <t>Прочее ва банк услиги</t>
  </si>
  <si>
    <t>1-тоифа 2 нафар 1,320</t>
  </si>
  <si>
    <t>банк услуг</t>
  </si>
  <si>
    <t xml:space="preserve">Даволаниш ва контракт </t>
  </si>
  <si>
    <t>прочи</t>
  </si>
  <si>
    <t>1-тоифа 2 нафар фуқаро</t>
  </si>
  <si>
    <t>1-тоифа 5 нафар 9240, банк услуг 2782</t>
  </si>
  <si>
    <t>1-тоифадаги 4 та аёлга 2640, услуг 2200</t>
  </si>
  <si>
    <t xml:space="preserve"> Услуг 1 909</t>
  </si>
  <si>
    <t xml:space="preserve">Даволаниш ва 1 -тоифага 4 нафарга 2640,                5 тоифа 3 нафар  1980 берилган. Прочи 8620 </t>
  </si>
  <si>
    <t>Счет № 2214821110</t>
  </si>
  <si>
    <t>Счет № 9212000000</t>
  </si>
  <si>
    <t xml:space="preserve">1-тоифадаги 32 та аёлга 7340 моддий ёрдам </t>
  </si>
  <si>
    <t>услуг</t>
  </si>
  <si>
    <t>1-тоифа 5940, 3-тоифа 7260, 4-тоифа 5940</t>
  </si>
  <si>
    <t>1-тоифадаги 15 та аёлга 9900 моддий ёрдам.</t>
  </si>
  <si>
    <t>01.12.2023 йил ҳолатига</t>
  </si>
  <si>
    <t>Ноябр ойи моддий ёрдам</t>
  </si>
  <si>
    <t>18.12.2023 йил холатига</t>
  </si>
  <si>
    <t>29.12.2023 йил ҳолатига</t>
  </si>
  <si>
    <r>
      <rPr>
        <b/>
        <sz val="14"/>
        <color rgb="FFFF0000"/>
        <rFont val="Times New Roman"/>
        <family val="1"/>
        <charset val="204"/>
      </rPr>
      <t>29.12.2023</t>
    </r>
    <r>
      <rPr>
        <b/>
        <sz val="14"/>
        <color theme="1"/>
        <rFont val="Times New Roman"/>
        <family val="1"/>
        <charset val="204"/>
      </rPr>
      <t xml:space="preserve"> йил ҳолатига қолдиқ</t>
    </r>
  </si>
  <si>
    <t>c 01.01.2023 по 29.12.2023 года</t>
  </si>
  <si>
    <t>Отчет сгенерирован: 30.12.2023 года 15:24:40</t>
  </si>
  <si>
    <t>Отчет сгенерирован: 30.12.2023 года 15:24:50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</si>
</sst>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00\ _₽_-;\-* #,##0.00\ _₽_-;_-* &quot;-&quot;??\ _₽_-;_-@_-"/>
    <numFmt numFmtId="165" formatCode="0.0"/>
    <numFmt numFmtId="166" formatCode="_-* #,##0.0\ _₽_-;\-* #,##0.0\ _₽_-;_-* &quot;-&quot;??\ _₽_-;_-@_-"/>
    <numFmt numFmtId="167" formatCode="_-* #,##0.0\ _₽_-;\-* #,##0.0\ _₽_-;_-* &quot;-&quot;?\ _₽_-;_-@_-"/>
    <numFmt numFmtId="168" formatCode="#,##0.0"/>
    <numFmt numFmtId="169" formatCode="_-* #,##0.00\ _₽_-;\-* #,##0.00\ _₽_-;_-* &quot;-&quot;?\ _₽_-;_-@_-"/>
    <numFmt numFmtId="170" formatCode="0.0%"/>
    <numFmt numFmtId="171" formatCode="_-* #,##0.000000\ _₽_-;\-* #,##0.000000\ _₽_-;_-* &quot;-&quot;?\ _₽_-;_-@_-"/>
    <numFmt numFmtId="172" formatCode="_-* #,##0\ _₽_-;\-* #,##0\ _₽_-;_-* &quot;-&quot;?\ _₽_-;_-@_-"/>
    <numFmt numFmtId="173" formatCode="_-* #,##0\ _₽_-;\-* #,##0\ _₽_-;_-* &quot;-&quot;??\ _₽_-;_-@_-"/>
    <numFmt numFmtId="174" formatCode="#,##0_ ;[Red]\-#,##0\ "/>
    <numFmt numFmtId="175" formatCode="#,##0.000000"/>
    <numFmt numFmtId="176" formatCode="#,##0.00000"/>
    <numFmt numFmtId="177" formatCode="#,##0.0000"/>
    <numFmt numFmtId="178" formatCode="#,##0.00000000"/>
    <numFmt numFmtId="179" formatCode="#,##0.0000000000"/>
    <numFmt numFmtId="180" formatCode="#,##0.0_ ;[Red]\-#,##0.0\ "/>
    <numFmt numFmtId="181" formatCode="#,##0.000000000"/>
  </numFmts>
  <fonts count="89" x14ac:knownFonts="1">
    <font>
      <sz val="11"/>
      <color theme="1"/>
      <name val="Calibri"/>
      <family val="2"/>
      <scheme val="minor"/>
    </font>
    <font>
      <sz val="11"/>
      <color theme="1"/>
      <name val="Calibri"/>
      <family val="2"/>
      <charset val="204"/>
      <scheme val="minor"/>
    </font>
    <font>
      <sz val="14"/>
      <color theme="1"/>
      <name val="Times New Roman"/>
      <family val="1"/>
      <charset val="204"/>
    </font>
    <font>
      <sz val="11"/>
      <color theme="1"/>
      <name val="Calibri"/>
      <family val="2"/>
      <scheme val="minor"/>
    </font>
    <font>
      <sz val="10"/>
      <color theme="1"/>
      <name val="Arial"/>
      <family val="2"/>
      <charset val="204"/>
    </font>
    <font>
      <b/>
      <sz val="10"/>
      <color theme="1"/>
      <name val="Arial"/>
      <family val="2"/>
      <charset val="204"/>
    </font>
    <font>
      <b/>
      <sz val="14"/>
      <color theme="1"/>
      <name val="Times New Roman"/>
      <family val="1"/>
      <charset val="204"/>
    </font>
    <font>
      <sz val="14"/>
      <color theme="1"/>
      <name val="Calibri"/>
      <family val="2"/>
      <scheme val="minor"/>
    </font>
    <font>
      <b/>
      <sz val="14"/>
      <name val="Times New Roman"/>
      <family val="1"/>
      <charset val="204"/>
    </font>
    <font>
      <b/>
      <i/>
      <sz val="14"/>
      <color theme="1"/>
      <name val="Times New Roman"/>
      <family val="1"/>
      <charset val="204"/>
    </font>
    <font>
      <b/>
      <sz val="14"/>
      <color rgb="FFFF0000"/>
      <name val="Times New Roman"/>
      <family val="1"/>
      <charset val="204"/>
    </font>
    <font>
      <b/>
      <i/>
      <sz val="14"/>
      <color rgb="FFFF0000"/>
      <name val="Times New Roman"/>
      <family val="1"/>
      <charset val="204"/>
    </font>
    <font>
      <b/>
      <sz val="11"/>
      <color theme="1"/>
      <name val="Calibri"/>
      <family val="2"/>
      <charset val="204"/>
      <scheme val="minor"/>
    </font>
    <font>
      <b/>
      <sz val="11"/>
      <color theme="1"/>
      <name val="Times New Roman"/>
      <family val="1"/>
      <charset val="204"/>
    </font>
    <font>
      <b/>
      <sz val="18"/>
      <color theme="1"/>
      <name val="Times New Roman"/>
      <family val="1"/>
      <charset val="204"/>
    </font>
    <font>
      <b/>
      <i/>
      <sz val="11"/>
      <color rgb="FFFF0000"/>
      <name val="Times New Roman"/>
      <family val="1"/>
      <charset val="204"/>
    </font>
    <font>
      <sz val="18"/>
      <color theme="1"/>
      <name val="Times New Roman"/>
      <family val="1"/>
      <charset val="204"/>
    </font>
    <font>
      <i/>
      <sz val="18"/>
      <color theme="1"/>
      <name val="Times New Roman"/>
      <family val="1"/>
      <charset val="204"/>
    </font>
    <font>
      <b/>
      <sz val="18"/>
      <name val="Times New Roman"/>
      <family val="1"/>
      <charset val="204"/>
    </font>
    <font>
      <sz val="14"/>
      <color rgb="FFFF0000"/>
      <name val="Times New Roman"/>
      <family val="1"/>
      <charset val="204"/>
    </font>
    <font>
      <b/>
      <sz val="16"/>
      <color theme="1"/>
      <name val="Times New Roman"/>
      <family val="1"/>
      <charset val="204"/>
    </font>
    <font>
      <sz val="16"/>
      <color theme="1"/>
      <name val="Times New Roman"/>
      <family val="1"/>
      <charset val="204"/>
    </font>
    <font>
      <sz val="16"/>
      <color rgb="FFFF0000"/>
      <name val="Times New Roman"/>
      <family val="1"/>
      <charset val="204"/>
    </font>
    <font>
      <b/>
      <i/>
      <sz val="18"/>
      <color theme="1"/>
      <name val="Times New Roman"/>
      <family val="1"/>
      <charset val="204"/>
    </font>
    <font>
      <sz val="18"/>
      <color rgb="FFFF0000"/>
      <name val="Times New Roman"/>
      <family val="1"/>
      <charset val="204"/>
    </font>
    <font>
      <b/>
      <sz val="18"/>
      <color rgb="FFFF0000"/>
      <name val="Times New Roman"/>
      <family val="1"/>
      <charset val="204"/>
    </font>
    <font>
      <b/>
      <sz val="11"/>
      <color rgb="FFFF0000"/>
      <name val="Times New Roman"/>
      <family val="1"/>
      <charset val="204"/>
    </font>
    <font>
      <b/>
      <sz val="16"/>
      <color rgb="FFFF0000"/>
      <name val="Times New Roman"/>
      <family val="1"/>
      <charset val="204"/>
    </font>
    <font>
      <i/>
      <sz val="14"/>
      <color theme="1"/>
      <name val="Times New Roman"/>
      <family val="1"/>
      <charset val="204"/>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b/>
      <sz val="18"/>
      <name val="Arial"/>
      <family val="2"/>
      <charset val="204"/>
    </font>
    <font>
      <b/>
      <u/>
      <sz val="18"/>
      <color rgb="FFFF0000"/>
      <name val="Arial"/>
      <family val="2"/>
      <charset val="204"/>
    </font>
    <font>
      <b/>
      <u/>
      <sz val="18"/>
      <name val="Arial"/>
      <family val="2"/>
      <charset val="204"/>
    </font>
    <font>
      <sz val="14"/>
      <color theme="1"/>
      <name val="Arial"/>
      <family val="2"/>
      <charset val="204"/>
    </font>
    <font>
      <i/>
      <sz val="14"/>
      <color rgb="FFFF0000"/>
      <name val="Arial"/>
      <family val="2"/>
      <charset val="204"/>
    </font>
    <font>
      <b/>
      <sz val="14"/>
      <color theme="1"/>
      <name val="Arial"/>
      <family val="2"/>
      <charset val="204"/>
    </font>
    <font>
      <b/>
      <i/>
      <sz val="14"/>
      <color theme="1"/>
      <name val="Arial"/>
      <family val="2"/>
      <charset val="204"/>
    </font>
    <font>
      <sz val="16"/>
      <color theme="1"/>
      <name val="Arial"/>
      <family val="2"/>
      <charset val="204"/>
    </font>
    <font>
      <sz val="16"/>
      <name val="Arial"/>
      <family val="2"/>
      <charset val="204"/>
    </font>
    <font>
      <b/>
      <sz val="18"/>
      <color rgb="FFFF0000"/>
      <name val="Arial"/>
      <family val="2"/>
      <charset val="204"/>
    </font>
    <font>
      <b/>
      <i/>
      <sz val="14"/>
      <color rgb="FFFF0000"/>
      <name val="Arial"/>
      <family val="2"/>
      <charset val="204"/>
    </font>
    <font>
      <i/>
      <sz val="14"/>
      <color theme="1"/>
      <name val="Arial"/>
      <family val="2"/>
      <charset val="204"/>
    </font>
    <font>
      <b/>
      <sz val="14"/>
      <name val="Arial"/>
      <family val="2"/>
      <charset val="204"/>
    </font>
    <font>
      <b/>
      <sz val="16"/>
      <color theme="1"/>
      <name val="Arial"/>
      <family val="2"/>
      <charset val="204"/>
    </font>
    <font>
      <b/>
      <sz val="16"/>
      <name val="Arial"/>
      <family val="2"/>
      <charset val="204"/>
    </font>
    <font>
      <b/>
      <u/>
      <sz val="16"/>
      <color rgb="FFFF0000"/>
      <name val="Arial"/>
      <family val="2"/>
      <charset val="204"/>
    </font>
    <font>
      <b/>
      <u/>
      <sz val="16"/>
      <name val="Arial"/>
      <family val="2"/>
      <charset val="204"/>
    </font>
    <font>
      <sz val="11"/>
      <color rgb="FFFF0000"/>
      <name val="Calibri"/>
      <family val="2"/>
      <scheme val="minor"/>
    </font>
    <font>
      <sz val="16"/>
      <color rgb="FFFF0000"/>
      <name val="Arial"/>
      <family val="2"/>
      <charset val="204"/>
    </font>
    <font>
      <sz val="11"/>
      <color theme="1"/>
      <name val="Times New Roman"/>
      <family val="1"/>
      <charset val="204"/>
    </font>
    <font>
      <b/>
      <sz val="18"/>
      <color rgb="FF1F4E79"/>
      <name val="Times New Roman"/>
      <family val="1"/>
      <charset val="204"/>
    </font>
    <font>
      <b/>
      <sz val="13"/>
      <color rgb="FF1F4E79"/>
      <name val="Times New Roman"/>
      <family val="1"/>
      <charset val="204"/>
    </font>
    <font>
      <i/>
      <sz val="11"/>
      <color rgb="FFFF0000"/>
      <name val="Times New Roman"/>
      <family val="1"/>
      <charset val="204"/>
    </font>
    <font>
      <b/>
      <sz val="12"/>
      <color theme="1"/>
      <name val="Times New Roman"/>
      <family val="1"/>
      <charset val="204"/>
    </font>
    <font>
      <b/>
      <sz val="12"/>
      <color rgb="FFFF0000"/>
      <name val="Times New Roman"/>
      <family val="1"/>
      <charset val="204"/>
    </font>
    <font>
      <b/>
      <i/>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20"/>
      <color rgb="FF1F4E79"/>
      <name val="Times New Roman"/>
      <family val="1"/>
      <charset val="204"/>
    </font>
    <font>
      <b/>
      <u/>
      <sz val="20"/>
      <color rgb="FF1F4E79"/>
      <name val="Times New Roman"/>
      <family val="1"/>
      <charset val="204"/>
    </font>
    <font>
      <b/>
      <sz val="20"/>
      <color rgb="FF1F4E79"/>
      <name val="Times New Roman"/>
      <family val="1"/>
      <charset val="204"/>
    </font>
    <font>
      <b/>
      <sz val="11"/>
      <color rgb="FF1F4E79"/>
      <name val="Times New Roman"/>
      <family val="1"/>
      <charset val="204"/>
    </font>
    <font>
      <sz val="11"/>
      <color rgb="FFFF0000"/>
      <name val="Times New Roman"/>
      <family val="1"/>
      <charset val="204"/>
    </font>
    <font>
      <sz val="12"/>
      <color rgb="FFFF0000"/>
      <name val="Times New Roman"/>
      <family val="1"/>
      <charset val="204"/>
    </font>
    <font>
      <sz val="11"/>
      <name val="Times New Roman"/>
      <family val="1"/>
      <charset val="204"/>
    </font>
    <font>
      <b/>
      <sz val="11"/>
      <color rgb="FFFFFF00"/>
      <name val="Times New Roman"/>
      <family val="1"/>
      <charset val="204"/>
    </font>
    <font>
      <i/>
      <sz val="14"/>
      <color rgb="FFFF0000"/>
      <name val="Times New Roman"/>
      <family val="1"/>
      <charset val="204"/>
    </font>
    <font>
      <b/>
      <sz val="20"/>
      <color rgb="FFFF0000"/>
      <name val="Times New Roman"/>
      <family val="1"/>
      <charset val="204"/>
    </font>
    <font>
      <b/>
      <sz val="11"/>
      <name val="Times New Roman"/>
      <family val="1"/>
      <charset val="204"/>
    </font>
    <font>
      <sz val="11"/>
      <name val="Calibri"/>
      <family val="2"/>
      <charset val="204"/>
      <scheme val="minor"/>
    </font>
    <font>
      <sz val="10"/>
      <color theme="1"/>
      <name val="Times New Roman"/>
      <family val="1"/>
      <charset val="204"/>
    </font>
    <font>
      <b/>
      <i/>
      <sz val="11"/>
      <color rgb="FFFF0000"/>
      <name val="Calibri"/>
      <family val="2"/>
      <charset val="204"/>
      <scheme val="minor"/>
    </font>
    <font>
      <b/>
      <i/>
      <sz val="18"/>
      <color rgb="FFFF0000"/>
      <name val="Arial"/>
      <family val="2"/>
      <charset val="204"/>
    </font>
    <font>
      <b/>
      <i/>
      <sz val="14"/>
      <color rgb="FFFF0000"/>
      <name val="Calibri"/>
      <family val="2"/>
      <charset val="204"/>
      <scheme val="minor"/>
    </font>
  </fonts>
  <fills count="3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bottom/>
      <diagonal/>
    </border>
    <border>
      <left style="hair">
        <color indexed="64"/>
      </left>
      <right/>
      <top/>
      <bottom/>
      <diagonal/>
    </border>
    <border>
      <left/>
      <right/>
      <top style="hair">
        <color indexed="64"/>
      </top>
      <bottom style="medium">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164" fontId="3" fillId="0" borderId="0" applyFont="0" applyFill="0" applyBorder="0" applyAlignment="0" applyProtection="0"/>
    <xf numFmtId="0" fontId="29" fillId="0" borderId="0" applyNumberFormat="0" applyFill="0" applyBorder="0" applyAlignment="0" applyProtection="0"/>
    <xf numFmtId="0" fontId="30" fillId="0" borderId="53" applyNumberFormat="0" applyFill="0" applyAlignment="0" applyProtection="0"/>
    <xf numFmtId="0" fontId="31" fillId="0" borderId="54" applyNumberFormat="0" applyFill="0" applyAlignment="0" applyProtection="0"/>
    <xf numFmtId="0" fontId="32" fillId="0" borderId="55"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56" applyNumberFormat="0" applyAlignment="0" applyProtection="0"/>
    <xf numFmtId="0" fontId="37" fillId="9" borderId="57" applyNumberFormat="0" applyAlignment="0" applyProtection="0"/>
    <xf numFmtId="0" fontId="38" fillId="9" borderId="56" applyNumberFormat="0" applyAlignment="0" applyProtection="0"/>
    <xf numFmtId="0" fontId="39" fillId="0" borderId="58" applyNumberFormat="0" applyFill="0" applyAlignment="0" applyProtection="0"/>
    <xf numFmtId="0" fontId="40" fillId="10" borderId="59"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2" fillId="0" borderId="61"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60" applyNumberFormat="0" applyFont="0" applyAlignment="0" applyProtection="0"/>
    <xf numFmtId="9" fontId="3" fillId="0" borderId="0" applyFont="0" applyFill="0" applyBorder="0" applyAlignment="0" applyProtection="0"/>
  </cellStyleXfs>
  <cellXfs count="805">
    <xf numFmtId="0" fontId="0" fillId="0" borderId="0" xfId="0"/>
    <xf numFmtId="167" fontId="6" fillId="3" borderId="15" xfId="0" applyNumberFormat="1" applyFont="1" applyFill="1" applyBorder="1" applyAlignment="1">
      <alignment horizontal="center" vertical="center" wrapText="1"/>
    </xf>
    <xf numFmtId="167" fontId="6" fillId="3" borderId="17" xfId="0" applyNumberFormat="1" applyFont="1" applyFill="1" applyBorder="1" applyAlignment="1">
      <alignment horizontal="center" vertical="center" wrapText="1"/>
    </xf>
    <xf numFmtId="167" fontId="6" fillId="3" borderId="16" xfId="0" applyNumberFormat="1" applyFont="1" applyFill="1" applyBorder="1" applyAlignment="1">
      <alignment horizontal="center" vertical="center" wrapText="1"/>
    </xf>
    <xf numFmtId="167" fontId="2" fillId="0" borderId="12" xfId="0" applyNumberFormat="1" applyFont="1" applyFill="1" applyBorder="1" applyAlignment="1">
      <alignment horizontal="center" vertical="center" wrapText="1"/>
    </xf>
    <xf numFmtId="167" fontId="2" fillId="0" borderId="13" xfId="0" applyNumberFormat="1" applyFont="1" applyFill="1" applyBorder="1" applyAlignment="1">
      <alignment horizontal="center" vertical="center" wrapText="1"/>
    </xf>
    <xf numFmtId="167" fontId="2" fillId="0" borderId="14" xfId="0" applyNumberFormat="1" applyFont="1" applyFill="1" applyBorder="1" applyAlignment="1">
      <alignment horizontal="center" vertical="center" wrapText="1"/>
    </xf>
    <xf numFmtId="167" fontId="2" fillId="0" borderId="21" xfId="0" applyNumberFormat="1" applyFont="1" applyFill="1" applyBorder="1" applyAlignment="1">
      <alignment horizontal="center" vertical="center" wrapText="1"/>
    </xf>
    <xf numFmtId="167" fontId="2" fillId="0" borderId="22" xfId="0" applyNumberFormat="1" applyFont="1" applyFill="1" applyBorder="1" applyAlignment="1">
      <alignment horizontal="center" vertical="center" wrapText="1"/>
    </xf>
    <xf numFmtId="167" fontId="2" fillId="0" borderId="23" xfId="0" applyNumberFormat="1" applyFont="1" applyFill="1" applyBorder="1" applyAlignment="1">
      <alignment horizontal="center" vertical="center" wrapText="1"/>
    </xf>
    <xf numFmtId="167" fontId="6" fillId="3" borderId="34" xfId="0" applyNumberFormat="1" applyFont="1" applyFill="1" applyBorder="1" applyAlignment="1">
      <alignment horizontal="center" vertical="center" wrapText="1"/>
    </xf>
    <xf numFmtId="167" fontId="2" fillId="0" borderId="35" xfId="0" applyNumberFormat="1" applyFont="1" applyFill="1" applyBorder="1" applyAlignment="1">
      <alignment horizontal="center" vertical="center" wrapText="1"/>
    </xf>
    <xf numFmtId="167" fontId="2" fillId="0" borderId="36" xfId="0" applyNumberFormat="1" applyFont="1" applyFill="1" applyBorder="1" applyAlignment="1">
      <alignment horizontal="center" vertical="center" wrapText="1"/>
    </xf>
    <xf numFmtId="0" fontId="2" fillId="0" borderId="35" xfId="0" applyFont="1" applyFill="1" applyBorder="1" applyAlignment="1">
      <alignment horizontal="center" vertical="center" wrapText="1"/>
    </xf>
    <xf numFmtId="165" fontId="2" fillId="0" borderId="35" xfId="0" applyNumberFormat="1" applyFont="1" applyFill="1" applyBorder="1" applyAlignment="1">
      <alignment horizontal="center" vertical="center" wrapText="1"/>
    </xf>
    <xf numFmtId="165" fontId="2" fillId="0" borderId="36"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6" fillId="0" borderId="0" xfId="0" applyFont="1" applyAlignment="1">
      <alignment vertical="center" wrapText="1"/>
    </xf>
    <xf numFmtId="166" fontId="6" fillId="0" borderId="0" xfId="1" applyNumberFormat="1" applyFont="1" applyAlignment="1">
      <alignment vertical="center" wrapText="1"/>
    </xf>
    <xf numFmtId="0" fontId="11" fillId="0" borderId="2" xfId="0" applyFont="1" applyBorder="1" applyAlignment="1">
      <alignment vertical="center" wrapText="1"/>
    </xf>
    <xf numFmtId="167" fontId="2" fillId="0" borderId="0" xfId="0" applyNumberFormat="1" applyFont="1" applyAlignment="1">
      <alignment horizontal="center" vertical="center" wrapText="1"/>
    </xf>
    <xf numFmtId="166" fontId="2" fillId="0" borderId="0" xfId="1" applyNumberFormat="1" applyFont="1" applyAlignment="1">
      <alignment horizontal="center" vertical="center" wrapText="1"/>
    </xf>
    <xf numFmtId="166" fontId="7" fillId="0" borderId="1" xfId="1" applyNumberFormat="1" applyFont="1" applyBorder="1" applyAlignment="1">
      <alignment horizontal="center" vertical="center" wrapText="1"/>
    </xf>
    <xf numFmtId="166" fontId="6" fillId="2" borderId="1" xfId="1" applyNumberFormat="1" applyFont="1" applyFill="1" applyBorder="1" applyAlignment="1">
      <alignment horizontal="center" vertical="center" wrapText="1"/>
    </xf>
    <xf numFmtId="0" fontId="6" fillId="0" borderId="0" xfId="0" applyFont="1" applyFill="1" applyAlignment="1">
      <alignment horizontal="left" vertical="center"/>
    </xf>
    <xf numFmtId="166" fontId="7" fillId="0" borderId="1" xfId="1" applyNumberFormat="1" applyFont="1" applyFill="1" applyBorder="1" applyAlignment="1">
      <alignment horizontal="center" vertical="center" wrapText="1"/>
    </xf>
    <xf numFmtId="0" fontId="2" fillId="0" borderId="0" xfId="0" applyFont="1" applyFill="1" applyAlignment="1">
      <alignment horizontal="center" vertical="center" wrapText="1"/>
    </xf>
    <xf numFmtId="164" fontId="2" fillId="0" borderId="0" xfId="1" applyFont="1" applyAlignment="1">
      <alignment horizontal="center" vertical="center" wrapText="1"/>
    </xf>
    <xf numFmtId="0" fontId="2"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167" fontId="2" fillId="0" borderId="3" xfId="0" applyNumberFormat="1" applyFont="1" applyFill="1" applyBorder="1" applyAlignment="1">
      <alignment horizontal="center" vertical="center" wrapText="1"/>
    </xf>
    <xf numFmtId="167" fontId="2" fillId="0" borderId="4" xfId="0" applyNumberFormat="1" applyFont="1" applyFill="1" applyBorder="1" applyAlignment="1">
      <alignment horizontal="center" vertical="center" wrapText="1"/>
    </xf>
    <xf numFmtId="167" fontId="2" fillId="0" borderId="33" xfId="0" applyNumberFormat="1" applyFont="1" applyFill="1" applyBorder="1" applyAlignment="1">
      <alignment horizontal="center" vertical="center" wrapText="1"/>
    </xf>
    <xf numFmtId="0" fontId="2" fillId="0" borderId="33" xfId="0" applyFont="1" applyFill="1" applyBorder="1" applyAlignment="1">
      <alignment horizontal="center" vertical="center" wrapText="1"/>
    </xf>
    <xf numFmtId="167" fontId="2" fillId="0" borderId="5" xfId="0" applyNumberFormat="1" applyFont="1" applyFill="1" applyBorder="1" applyAlignment="1">
      <alignment horizontal="center" vertical="center" wrapText="1"/>
    </xf>
    <xf numFmtId="0" fontId="13" fillId="0" borderId="0" xfId="0" applyFont="1"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6" fillId="0" borderId="10" xfId="0" applyFont="1" applyBorder="1" applyAlignment="1">
      <alignment horizontal="center" vertical="center" wrapText="1"/>
    </xf>
    <xf numFmtId="168" fontId="0" fillId="0" borderId="0" xfId="0" applyNumberFormat="1" applyAlignment="1">
      <alignment horizontal="center" vertical="center" wrapText="1"/>
    </xf>
    <xf numFmtId="164" fontId="0" fillId="0" borderId="0" xfId="1" applyFont="1" applyAlignment="1">
      <alignment horizontal="center" vertical="center" wrapText="1"/>
    </xf>
    <xf numFmtId="0" fontId="16" fillId="0" borderId="12"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12" fillId="0" borderId="0" xfId="0" applyFont="1" applyFill="1" applyAlignment="1">
      <alignment horizontal="left" vertical="center"/>
    </xf>
    <xf numFmtId="168"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wrapText="1"/>
    </xf>
    <xf numFmtId="3" fontId="0" fillId="0" borderId="0" xfId="0" applyNumberFormat="1" applyAlignment="1">
      <alignment horizontal="center" vertical="center" wrapText="1"/>
    </xf>
    <xf numFmtId="167" fontId="19" fillId="0" borderId="13" xfId="0" applyNumberFormat="1" applyFont="1" applyFill="1" applyBorder="1" applyAlignment="1">
      <alignment horizontal="center" vertical="center" wrapText="1"/>
    </xf>
    <xf numFmtId="167" fontId="2" fillId="0" borderId="0" xfId="0" applyNumberFormat="1" applyFont="1" applyFill="1" applyAlignment="1">
      <alignment horizontal="center" vertical="center" wrapText="1"/>
    </xf>
    <xf numFmtId="167" fontId="18" fillId="4" borderId="15" xfId="0" applyNumberFormat="1" applyFont="1" applyFill="1" applyBorder="1" applyAlignment="1">
      <alignment horizontal="center" vertical="center" wrapText="1"/>
    </xf>
    <xf numFmtId="167" fontId="18" fillId="4" borderId="17" xfId="0" applyNumberFormat="1" applyFont="1" applyFill="1" applyBorder="1" applyAlignment="1">
      <alignment horizontal="center" vertical="center" wrapText="1"/>
    </xf>
    <xf numFmtId="167" fontId="18" fillId="4" borderId="16" xfId="0" applyNumberFormat="1" applyFont="1" applyFill="1" applyBorder="1" applyAlignment="1">
      <alignment horizontal="center" vertical="center" wrapText="1"/>
    </xf>
    <xf numFmtId="167" fontId="14" fillId="0" borderId="12" xfId="0" applyNumberFormat="1" applyFont="1" applyFill="1" applyBorder="1" applyAlignment="1">
      <alignment horizontal="center" vertical="center" wrapText="1"/>
    </xf>
    <xf numFmtId="167" fontId="16" fillId="0" borderId="13" xfId="0" applyNumberFormat="1" applyFont="1" applyFill="1" applyBorder="1" applyAlignment="1">
      <alignment horizontal="center" vertical="center" wrapText="1"/>
    </xf>
    <xf numFmtId="167" fontId="16" fillId="0" borderId="14" xfId="0" applyNumberFormat="1" applyFont="1" applyFill="1" applyBorder="1" applyAlignment="1">
      <alignment horizontal="center" vertical="center" wrapText="1"/>
    </xf>
    <xf numFmtId="167" fontId="14" fillId="0" borderId="6" xfId="0" applyNumberFormat="1" applyFont="1" applyFill="1" applyBorder="1" applyAlignment="1">
      <alignment horizontal="center" vertical="center" wrapText="1"/>
    </xf>
    <xf numFmtId="167" fontId="16" fillId="0" borderId="7" xfId="0" applyNumberFormat="1" applyFont="1" applyFill="1" applyBorder="1" applyAlignment="1">
      <alignment horizontal="center" vertical="center" wrapText="1"/>
    </xf>
    <xf numFmtId="167" fontId="16" fillId="0" borderId="8" xfId="0" applyNumberFormat="1" applyFont="1" applyFill="1" applyBorder="1" applyAlignment="1">
      <alignment horizontal="center" vertical="center" wrapText="1"/>
    </xf>
    <xf numFmtId="167" fontId="14" fillId="0" borderId="9" xfId="0" applyNumberFormat="1" applyFont="1" applyFill="1" applyBorder="1" applyAlignment="1">
      <alignment horizontal="center" vertical="center" wrapText="1"/>
    </xf>
    <xf numFmtId="167" fontId="16" fillId="0" borderId="10" xfId="0" applyNumberFormat="1" applyFont="1" applyFill="1" applyBorder="1" applyAlignment="1">
      <alignment horizontal="center" vertical="center" wrapText="1"/>
    </xf>
    <xf numFmtId="167" fontId="16" fillId="0" borderId="1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Fill="1" applyAlignment="1">
      <alignment horizontal="center" vertical="center" wrapText="1"/>
    </xf>
    <xf numFmtId="167" fontId="20" fillId="3" borderId="15" xfId="0" applyNumberFormat="1" applyFont="1" applyFill="1" applyBorder="1" applyAlignment="1">
      <alignment horizontal="center" vertical="center" wrapText="1"/>
    </xf>
    <xf numFmtId="167" fontId="20" fillId="3" borderId="17" xfId="0" applyNumberFormat="1" applyFont="1" applyFill="1" applyBorder="1" applyAlignment="1">
      <alignment horizontal="center" vertical="center" wrapText="1"/>
    </xf>
    <xf numFmtId="167" fontId="20" fillId="3" borderId="34" xfId="0" applyNumberFormat="1" applyFont="1" applyFill="1" applyBorder="1" applyAlignment="1">
      <alignment horizontal="center" vertical="center" wrapText="1"/>
    </xf>
    <xf numFmtId="167" fontId="20" fillId="3" borderId="16" xfId="0" applyNumberFormat="1" applyFont="1" applyFill="1" applyBorder="1" applyAlignment="1">
      <alignment horizontal="center" vertical="center" wrapText="1"/>
    </xf>
    <xf numFmtId="167" fontId="21" fillId="0" borderId="3" xfId="0" applyNumberFormat="1" applyFont="1" applyFill="1" applyBorder="1" applyAlignment="1">
      <alignment horizontal="center" vertical="center" wrapText="1"/>
    </xf>
    <xf numFmtId="167" fontId="21" fillId="0" borderId="4" xfId="0" applyNumberFormat="1" applyFont="1" applyFill="1" applyBorder="1" applyAlignment="1">
      <alignment horizontal="center" vertical="center" wrapText="1"/>
    </xf>
    <xf numFmtId="167" fontId="21" fillId="0" borderId="33" xfId="0" applyNumberFormat="1" applyFont="1" applyFill="1" applyBorder="1" applyAlignment="1">
      <alignment horizontal="center" vertical="center" wrapText="1"/>
    </xf>
    <xf numFmtId="0" fontId="21" fillId="0" borderId="33" xfId="0" applyFont="1" applyFill="1" applyBorder="1" applyAlignment="1">
      <alignment horizontal="center" vertical="center" wrapText="1"/>
    </xf>
    <xf numFmtId="167" fontId="21" fillId="0" borderId="5" xfId="0" applyNumberFormat="1" applyFont="1" applyFill="1" applyBorder="1" applyAlignment="1">
      <alignment horizontal="center" vertical="center" wrapText="1"/>
    </xf>
    <xf numFmtId="167" fontId="21" fillId="0" borderId="12" xfId="0" applyNumberFormat="1" applyFont="1" applyFill="1" applyBorder="1" applyAlignment="1">
      <alignment horizontal="center" vertical="center" wrapText="1"/>
    </xf>
    <xf numFmtId="167" fontId="21" fillId="0" borderId="13" xfId="0" applyNumberFormat="1" applyFont="1" applyFill="1" applyBorder="1" applyAlignment="1">
      <alignment horizontal="center" vertical="center" wrapText="1"/>
    </xf>
    <xf numFmtId="167" fontId="21" fillId="0" borderId="35" xfId="0" applyNumberFormat="1" applyFont="1" applyFill="1" applyBorder="1" applyAlignment="1">
      <alignment horizontal="center" vertical="center" wrapText="1"/>
    </xf>
    <xf numFmtId="0" fontId="21" fillId="0" borderId="35" xfId="0" applyFont="1" applyFill="1" applyBorder="1" applyAlignment="1">
      <alignment horizontal="center" vertical="center" wrapText="1"/>
    </xf>
    <xf numFmtId="167" fontId="21" fillId="0" borderId="14" xfId="0" applyNumberFormat="1" applyFont="1" applyFill="1" applyBorder="1" applyAlignment="1">
      <alignment horizontal="center" vertical="center" wrapText="1"/>
    </xf>
    <xf numFmtId="165" fontId="21" fillId="0" borderId="35" xfId="0" applyNumberFormat="1" applyFont="1" applyFill="1" applyBorder="1" applyAlignment="1">
      <alignment horizontal="center" vertical="center" wrapText="1"/>
    </xf>
    <xf numFmtId="167" fontId="22" fillId="0" borderId="13" xfId="0" applyNumberFormat="1" applyFont="1" applyFill="1" applyBorder="1" applyAlignment="1">
      <alignment horizontal="center" vertical="center" wrapText="1"/>
    </xf>
    <xf numFmtId="167" fontId="21" fillId="0" borderId="21" xfId="0" applyNumberFormat="1" applyFont="1" applyFill="1" applyBorder="1" applyAlignment="1">
      <alignment horizontal="center" vertical="center" wrapText="1"/>
    </xf>
    <xf numFmtId="167" fontId="21" fillId="0" borderId="22" xfId="0" applyNumberFormat="1" applyFont="1" applyFill="1" applyBorder="1" applyAlignment="1">
      <alignment horizontal="center" vertical="center" wrapText="1"/>
    </xf>
    <xf numFmtId="167" fontId="21" fillId="0" borderId="36" xfId="0" applyNumberFormat="1" applyFont="1" applyFill="1" applyBorder="1" applyAlignment="1">
      <alignment horizontal="center" vertical="center" wrapText="1"/>
    </xf>
    <xf numFmtId="165" fontId="21" fillId="0" borderId="36" xfId="0" applyNumberFormat="1" applyFont="1" applyFill="1" applyBorder="1" applyAlignment="1">
      <alignment horizontal="center" vertical="center" wrapText="1"/>
    </xf>
    <xf numFmtId="167" fontId="21" fillId="0" borderId="23" xfId="0" applyNumberFormat="1" applyFont="1" applyFill="1" applyBorder="1" applyAlignment="1">
      <alignment horizontal="center" vertical="center" wrapText="1"/>
    </xf>
    <xf numFmtId="11" fontId="2" fillId="0" borderId="0" xfId="0" applyNumberFormat="1" applyFont="1" applyFill="1" applyAlignment="1">
      <alignment horizontal="center" vertical="center" wrapText="1"/>
    </xf>
    <xf numFmtId="167" fontId="0" fillId="0" borderId="0" xfId="0" applyNumberFormat="1" applyFill="1" applyAlignment="1">
      <alignment horizontal="center" vertical="center" wrapText="1"/>
    </xf>
    <xf numFmtId="167" fontId="22" fillId="0" borderId="36" xfId="0" applyNumberFormat="1" applyFont="1" applyFill="1" applyBorder="1" applyAlignment="1">
      <alignment horizontal="center" vertical="center" wrapText="1"/>
    </xf>
    <xf numFmtId="169" fontId="2" fillId="0" borderId="0" xfId="0" applyNumberFormat="1" applyFont="1" applyFill="1" applyAlignment="1">
      <alignment horizontal="center" vertical="center" wrapText="1"/>
    </xf>
    <xf numFmtId="167" fontId="22" fillId="0" borderId="35" xfId="0" applyNumberFormat="1" applyFont="1" applyFill="1" applyBorder="1" applyAlignment="1">
      <alignment horizontal="center" vertical="center" wrapText="1"/>
    </xf>
    <xf numFmtId="0" fontId="6" fillId="0" borderId="36" xfId="0" applyFont="1" applyBorder="1" applyAlignment="1">
      <alignment horizontal="center" vertical="center" wrapText="1"/>
    </xf>
    <xf numFmtId="167" fontId="0" fillId="0" borderId="0" xfId="0" applyNumberFormat="1" applyAlignment="1">
      <alignment horizontal="center" vertical="center" wrapText="1"/>
    </xf>
    <xf numFmtId="0" fontId="14" fillId="0" borderId="0" xfId="0" applyFont="1" applyAlignment="1">
      <alignment horizontal="center" vertical="center" wrapText="1"/>
    </xf>
    <xf numFmtId="0" fontId="16" fillId="0" borderId="6" xfId="0" applyFont="1" applyFill="1" applyBorder="1" applyAlignment="1">
      <alignment horizontal="center" vertical="center" wrapText="1"/>
    </xf>
    <xf numFmtId="167" fontId="16" fillId="0" borderId="22" xfId="0" applyNumberFormat="1" applyFont="1" applyFill="1" applyBorder="1" applyAlignment="1">
      <alignment horizontal="center" vertical="center" wrapText="1"/>
    </xf>
    <xf numFmtId="167" fontId="16" fillId="0" borderId="7" xfId="0" applyNumberFormat="1" applyFont="1" applyFill="1" applyBorder="1" applyAlignment="1">
      <alignment vertical="center" wrapText="1"/>
    </xf>
    <xf numFmtId="0" fontId="11" fillId="0" borderId="0" xfId="0" applyFont="1" applyAlignment="1">
      <alignment horizontal="center" vertical="center" wrapText="1"/>
    </xf>
    <xf numFmtId="167" fontId="18" fillId="4" borderId="40" xfId="0" applyNumberFormat="1" applyFont="1" applyFill="1" applyBorder="1" applyAlignment="1">
      <alignment horizontal="center" vertical="center" wrapText="1"/>
    </xf>
    <xf numFmtId="167" fontId="16" fillId="0" borderId="41" xfId="0" applyNumberFormat="1" applyFont="1" applyFill="1" applyBorder="1" applyAlignment="1">
      <alignment horizontal="center" vertical="center" wrapText="1"/>
    </xf>
    <xf numFmtId="167" fontId="16" fillId="0" borderId="42" xfId="0" applyNumberFormat="1" applyFont="1" applyFill="1" applyBorder="1" applyAlignment="1">
      <alignment horizontal="center" vertical="center" wrapText="1"/>
    </xf>
    <xf numFmtId="167" fontId="18" fillId="4" borderId="39" xfId="0" applyNumberFormat="1" applyFont="1" applyFill="1" applyBorder="1" applyAlignment="1">
      <alignment horizontal="center" vertical="center" wrapText="1"/>
    </xf>
    <xf numFmtId="167" fontId="16" fillId="0" borderId="44" xfId="0" applyNumberFormat="1" applyFont="1" applyFill="1" applyBorder="1" applyAlignment="1">
      <alignment horizontal="center" vertical="center" wrapText="1"/>
    </xf>
    <xf numFmtId="167" fontId="16" fillId="0" borderId="43" xfId="0" applyNumberFormat="1" applyFont="1" applyFill="1" applyBorder="1" applyAlignment="1">
      <alignment horizontal="center" vertical="center" wrapText="1"/>
    </xf>
    <xf numFmtId="164" fontId="7" fillId="0" borderId="0" xfId="0" applyNumberFormat="1" applyFont="1" applyAlignment="1">
      <alignment horizontal="center" vertical="center" wrapText="1"/>
    </xf>
    <xf numFmtId="0" fontId="24" fillId="0" borderId="40"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14" fillId="0" borderId="0" xfId="0" applyFont="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3" fontId="27" fillId="0" borderId="0" xfId="0" applyNumberFormat="1" applyFont="1" applyAlignment="1">
      <alignment horizontal="center" vertical="center" wrapText="1"/>
    </xf>
    <xf numFmtId="0" fontId="16" fillId="0" borderId="0" xfId="0" applyFont="1" applyAlignment="1">
      <alignment horizontal="center" vertical="center" wrapText="1"/>
    </xf>
    <xf numFmtId="170" fontId="24" fillId="0" borderId="0" xfId="0" applyNumberFormat="1" applyFont="1" applyAlignment="1">
      <alignment horizontal="center" vertical="center" wrapText="1"/>
    </xf>
    <xf numFmtId="0" fontId="16" fillId="0" borderId="11" xfId="0" applyFont="1" applyBorder="1" applyAlignment="1">
      <alignment horizontal="center" vertical="center" wrapText="1"/>
    </xf>
    <xf numFmtId="171" fontId="2" fillId="0" borderId="0" xfId="0" applyNumberFormat="1" applyFont="1" applyFill="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164" fontId="2" fillId="0" borderId="0" xfId="0" applyNumberFormat="1" applyFont="1" applyAlignment="1">
      <alignment horizontal="center" vertical="center" wrapText="1"/>
    </xf>
    <xf numFmtId="0" fontId="16" fillId="0" borderId="10" xfId="0" applyFont="1" applyFill="1" applyBorder="1" applyAlignment="1">
      <alignment horizontal="center" vertical="center" textRotation="90" wrapText="1"/>
    </xf>
    <xf numFmtId="0" fontId="16" fillId="0" borderId="11" xfId="0" applyFont="1" applyFill="1" applyBorder="1" applyAlignment="1">
      <alignment horizontal="center" vertical="center" textRotation="90"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164" fontId="2" fillId="0" borderId="0" xfId="0" applyNumberFormat="1" applyFont="1" applyFill="1" applyAlignment="1">
      <alignment horizontal="center" vertical="center" wrapText="1"/>
    </xf>
    <xf numFmtId="172" fontId="18" fillId="4" borderId="15" xfId="0" applyNumberFormat="1" applyFont="1" applyFill="1" applyBorder="1" applyAlignment="1">
      <alignment horizontal="center" vertical="center" wrapText="1"/>
    </xf>
    <xf numFmtId="172" fontId="18" fillId="4" borderId="17" xfId="0" applyNumberFormat="1" applyFont="1" applyFill="1" applyBorder="1" applyAlignment="1">
      <alignment horizontal="center" vertical="center" wrapText="1"/>
    </xf>
    <xf numFmtId="172" fontId="18" fillId="4" borderId="16" xfId="0" applyNumberFormat="1" applyFont="1" applyFill="1" applyBorder="1" applyAlignment="1">
      <alignment horizontal="center" vertical="center" wrapText="1"/>
    </xf>
    <xf numFmtId="172" fontId="14" fillId="0" borderId="12" xfId="0" applyNumberFormat="1" applyFont="1" applyFill="1" applyBorder="1" applyAlignment="1">
      <alignment horizontal="center" vertical="center" wrapText="1"/>
    </xf>
    <xf numFmtId="172" fontId="16" fillId="0" borderId="13" xfId="0" applyNumberFormat="1" applyFont="1" applyFill="1" applyBorder="1" applyAlignment="1">
      <alignment horizontal="center" vertical="center" wrapText="1"/>
    </xf>
    <xf numFmtId="172" fontId="16" fillId="0" borderId="14" xfId="0" applyNumberFormat="1" applyFont="1" applyFill="1" applyBorder="1" applyAlignment="1">
      <alignment horizontal="center" vertical="center" wrapText="1"/>
    </xf>
    <xf numFmtId="172" fontId="14" fillId="0" borderId="6" xfId="0" applyNumberFormat="1" applyFont="1" applyFill="1" applyBorder="1" applyAlignment="1">
      <alignment horizontal="center" vertical="center" wrapText="1"/>
    </xf>
    <xf numFmtId="172" fontId="16" fillId="0" borderId="7" xfId="0" applyNumberFormat="1" applyFont="1" applyFill="1" applyBorder="1" applyAlignment="1">
      <alignment horizontal="center" vertical="center" wrapText="1"/>
    </xf>
    <xf numFmtId="172" fontId="16" fillId="0" borderId="8" xfId="0" applyNumberFormat="1" applyFont="1" applyFill="1" applyBorder="1" applyAlignment="1">
      <alignment horizontal="center" vertical="center" wrapText="1"/>
    </xf>
    <xf numFmtId="172" fontId="14" fillId="0" borderId="9" xfId="0" applyNumberFormat="1" applyFont="1" applyFill="1" applyBorder="1" applyAlignment="1">
      <alignment horizontal="center" vertical="center" wrapText="1"/>
    </xf>
    <xf numFmtId="172" fontId="16" fillId="0" borderId="10" xfId="0" applyNumberFormat="1" applyFont="1" applyFill="1" applyBorder="1" applyAlignment="1">
      <alignment horizontal="center" vertical="center" wrapText="1"/>
    </xf>
    <xf numFmtId="172" fontId="16" fillId="0" borderId="11" xfId="0" applyNumberFormat="1" applyFont="1" applyFill="1" applyBorder="1" applyAlignment="1">
      <alignment horizontal="center" vertical="center" wrapText="1"/>
    </xf>
    <xf numFmtId="172" fontId="16" fillId="0" borderId="22" xfId="0" applyNumberFormat="1" applyFont="1" applyFill="1" applyBorder="1" applyAlignment="1">
      <alignment horizontal="center" vertical="center" wrapText="1"/>
    </xf>
    <xf numFmtId="172" fontId="16" fillId="0" borderId="23" xfId="0" applyNumberFormat="1" applyFont="1" applyFill="1" applyBorder="1" applyAlignment="1">
      <alignment horizontal="center" vertical="center" wrapText="1"/>
    </xf>
    <xf numFmtId="172" fontId="18" fillId="4" borderId="29" xfId="0" applyNumberFormat="1" applyFont="1" applyFill="1" applyBorder="1" applyAlignment="1">
      <alignment horizontal="center" vertical="center" wrapText="1"/>
    </xf>
    <xf numFmtId="172" fontId="14" fillId="0" borderId="26" xfId="0" applyNumberFormat="1" applyFont="1" applyFill="1" applyBorder="1" applyAlignment="1">
      <alignment horizontal="center" vertical="center" wrapText="1"/>
    </xf>
    <xf numFmtId="172" fontId="14" fillId="0" borderId="27" xfId="0" applyNumberFormat="1" applyFont="1" applyFill="1" applyBorder="1" applyAlignment="1">
      <alignment horizontal="center" vertical="center" wrapText="1"/>
    </xf>
    <xf numFmtId="172" fontId="14" fillId="0" borderId="25"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167" fontId="22" fillId="0" borderId="22" xfId="0" applyNumberFormat="1" applyFont="1" applyFill="1" applyBorder="1" applyAlignment="1">
      <alignment horizontal="center" vertical="center" wrapText="1"/>
    </xf>
    <xf numFmtId="9"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4" fillId="0" borderId="68" xfId="0" applyFont="1" applyBorder="1" applyAlignment="1">
      <alignment wrapText="1"/>
    </xf>
    <xf numFmtId="0" fontId="5" fillId="0" borderId="68" xfId="0" applyFont="1" applyBorder="1" applyAlignment="1">
      <alignment horizontal="center" vertical="center" wrapText="1"/>
    </xf>
    <xf numFmtId="164" fontId="22" fillId="0" borderId="13"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applyFont="1" applyFill="1" applyBorder="1" applyAlignment="1">
      <alignment horizontal="center" vertical="center" wrapText="1"/>
    </xf>
    <xf numFmtId="172" fontId="14" fillId="0" borderId="0" xfId="0" applyNumberFormat="1" applyFont="1" applyFill="1" applyBorder="1" applyAlignment="1">
      <alignment horizontal="center" vertical="center" wrapText="1"/>
    </xf>
    <xf numFmtId="172" fontId="16" fillId="0" borderId="0" xfId="0" applyNumberFormat="1" applyFont="1" applyFill="1" applyBorder="1" applyAlignment="1">
      <alignment horizontal="center" vertical="center" wrapText="1"/>
    </xf>
    <xf numFmtId="172" fontId="18" fillId="0" borderId="46" xfId="0" applyNumberFormat="1" applyFont="1" applyFill="1" applyBorder="1" applyAlignment="1">
      <alignment horizontal="center" vertical="center" wrapText="1"/>
    </xf>
    <xf numFmtId="172" fontId="18" fillId="0" borderId="23" xfId="0" applyNumberFormat="1" applyFont="1" applyFill="1" applyBorder="1" applyAlignment="1">
      <alignment horizontal="center" vertical="center" wrapText="1"/>
    </xf>
    <xf numFmtId="167" fontId="16" fillId="0" borderId="72" xfId="0" applyNumberFormat="1" applyFont="1" applyFill="1" applyBorder="1" applyAlignment="1">
      <alignment horizontal="center" vertical="center" wrapText="1"/>
    </xf>
    <xf numFmtId="167" fontId="16" fillId="0" borderId="38" xfId="0" applyNumberFormat="1" applyFont="1" applyFill="1" applyBorder="1" applyAlignment="1">
      <alignment horizontal="center" vertical="center" wrapText="1"/>
    </xf>
    <xf numFmtId="167" fontId="16" fillId="0" borderId="71" xfId="0" applyNumberFormat="1" applyFont="1" applyFill="1" applyBorder="1" applyAlignment="1">
      <alignment horizontal="center" vertical="center" wrapText="1"/>
    </xf>
    <xf numFmtId="0" fontId="16" fillId="0" borderId="32" xfId="0" applyFont="1" applyBorder="1" applyAlignment="1">
      <alignment horizontal="center" vertical="center" wrapText="1"/>
    </xf>
    <xf numFmtId="167" fontId="18" fillId="4" borderId="34" xfId="0" applyNumberFormat="1" applyFont="1" applyFill="1" applyBorder="1" applyAlignment="1">
      <alignment horizontal="center" vertical="center" wrapText="1"/>
    </xf>
    <xf numFmtId="167" fontId="16" fillId="0" borderId="35" xfId="0" applyNumberFormat="1" applyFont="1" applyFill="1" applyBorder="1" applyAlignment="1">
      <alignment horizontal="center" vertical="center" wrapText="1"/>
    </xf>
    <xf numFmtId="167" fontId="16" fillId="0" borderId="37" xfId="0" applyNumberFormat="1" applyFont="1" applyFill="1" applyBorder="1" applyAlignment="1">
      <alignment horizontal="center" vertical="center" wrapText="1"/>
    </xf>
    <xf numFmtId="167" fontId="16" fillId="0" borderId="32" xfId="0" applyNumberFormat="1" applyFont="1" applyFill="1" applyBorder="1" applyAlignment="1">
      <alignment horizontal="center" vertical="center" wrapText="1"/>
    </xf>
    <xf numFmtId="167" fontId="16" fillId="0" borderId="70"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16" fillId="0" borderId="6" xfId="0" applyFont="1" applyFill="1" applyBorder="1" applyAlignment="1">
      <alignment horizontal="center" vertical="center" wrapText="1"/>
    </xf>
    <xf numFmtId="0" fontId="47" fillId="0" borderId="0" xfId="0" applyFont="1" applyFill="1"/>
    <xf numFmtId="0" fontId="48" fillId="0" borderId="0" xfId="0" applyFont="1" applyFill="1" applyAlignment="1">
      <alignment horizontal="center"/>
    </xf>
    <xf numFmtId="0" fontId="49" fillId="36" borderId="7" xfId="0" applyFont="1" applyFill="1" applyBorder="1" applyAlignment="1">
      <alignment horizontal="center" vertical="center" wrapText="1"/>
    </xf>
    <xf numFmtId="0" fontId="49" fillId="36" borderId="8" xfId="0" applyFont="1" applyFill="1" applyBorder="1" applyAlignment="1">
      <alignment horizontal="center" vertical="center" wrapText="1"/>
    </xf>
    <xf numFmtId="0" fontId="49" fillId="36" borderId="27"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14" xfId="0" applyFont="1" applyFill="1" applyBorder="1" applyAlignment="1">
      <alignment horizontal="left" vertical="center" wrapText="1"/>
    </xf>
    <xf numFmtId="168" fontId="0" fillId="0" borderId="0" xfId="0" applyNumberFormat="1"/>
    <xf numFmtId="0" fontId="47" fillId="0" borderId="6" xfId="0" applyFont="1" applyFill="1" applyBorder="1" applyAlignment="1">
      <alignment horizontal="center" vertical="center" wrapText="1"/>
    </xf>
    <xf numFmtId="0" fontId="47" fillId="0" borderId="8" xfId="0" applyFont="1" applyFill="1" applyBorder="1" applyAlignment="1">
      <alignment horizontal="left" vertical="center" wrapText="1"/>
    </xf>
    <xf numFmtId="0" fontId="47" fillId="0" borderId="9" xfId="0" applyFont="1" applyFill="1" applyBorder="1" applyAlignment="1">
      <alignment horizontal="center" vertical="center" wrapText="1"/>
    </xf>
    <xf numFmtId="0" fontId="47" fillId="0" borderId="11" xfId="0" applyFont="1" applyFill="1" applyBorder="1" applyAlignment="1">
      <alignment horizontal="left" vertical="center" wrapText="1"/>
    </xf>
    <xf numFmtId="0" fontId="6" fillId="0" borderId="10" xfId="0" applyFont="1" applyBorder="1" applyAlignment="1">
      <alignment horizontal="center" vertical="center" textRotation="90" wrapText="1"/>
    </xf>
    <xf numFmtId="0" fontId="54" fillId="0" borderId="0" xfId="0" applyFont="1" applyFill="1"/>
    <xf numFmtId="0" fontId="55" fillId="0" borderId="0" xfId="0" applyFont="1" applyFill="1" applyAlignment="1">
      <alignment horizontal="left"/>
    </xf>
    <xf numFmtId="0" fontId="50" fillId="36" borderId="15" xfId="0" applyFont="1" applyFill="1" applyBorder="1" applyAlignment="1">
      <alignment horizontal="center" vertical="center" wrapText="1"/>
    </xf>
    <xf numFmtId="0" fontId="50" fillId="36" borderId="16" xfId="0" applyFont="1" applyFill="1" applyBorder="1" applyAlignment="1">
      <alignment horizontal="center" vertical="center" wrapText="1"/>
    </xf>
    <xf numFmtId="0" fontId="50" fillId="36" borderId="29" xfId="0" applyFont="1" applyFill="1" applyBorder="1" applyAlignment="1">
      <alignment horizontal="center" vertical="center" wrapText="1"/>
    </xf>
    <xf numFmtId="0" fontId="50" fillId="36" borderId="17" xfId="0" applyFont="1" applyFill="1" applyBorder="1" applyAlignment="1">
      <alignment horizontal="center" vertical="center" wrapText="1"/>
    </xf>
    <xf numFmtId="173" fontId="47" fillId="0" borderId="1" xfId="1" applyNumberFormat="1" applyFont="1" applyFill="1" applyBorder="1"/>
    <xf numFmtId="3" fontId="51" fillId="0" borderId="27" xfId="0" applyNumberFormat="1" applyFont="1" applyFill="1" applyBorder="1" applyAlignment="1">
      <alignment horizontal="center" vertical="center" wrapText="1"/>
    </xf>
    <xf numFmtId="3" fontId="52" fillId="0" borderId="7" xfId="44" applyNumberFormat="1" applyFont="1" applyFill="1" applyBorder="1" applyAlignment="1">
      <alignment horizontal="center" vertical="center"/>
    </xf>
    <xf numFmtId="174" fontId="51" fillId="0" borderId="8" xfId="0" applyNumberFormat="1" applyFont="1" applyFill="1" applyBorder="1" applyAlignment="1">
      <alignment horizontal="center" vertical="center" wrapText="1"/>
    </xf>
    <xf numFmtId="3" fontId="51" fillId="0" borderId="7" xfId="0" applyNumberFormat="1" applyFont="1" applyFill="1" applyBorder="1" applyAlignment="1">
      <alignment horizontal="center" vertical="center" wrapText="1"/>
    </xf>
    <xf numFmtId="3" fontId="47" fillId="0" borderId="0" xfId="0" applyNumberFormat="1" applyFont="1" applyFill="1"/>
    <xf numFmtId="175" fontId="47" fillId="0" borderId="0" xfId="0" quotePrefix="1" applyNumberFormat="1" applyFont="1" applyFill="1"/>
    <xf numFmtId="175" fontId="47" fillId="0" borderId="0" xfId="0" applyNumberFormat="1" applyFont="1" applyFill="1"/>
    <xf numFmtId="176" fontId="47" fillId="0" borderId="0" xfId="0" applyNumberFormat="1" applyFont="1" applyFill="1"/>
    <xf numFmtId="177" fontId="47" fillId="0" borderId="0" xfId="0" applyNumberFormat="1" applyFont="1" applyFill="1"/>
    <xf numFmtId="178" fontId="47" fillId="0" borderId="0" xfId="0" applyNumberFormat="1" applyFont="1" applyFill="1"/>
    <xf numFmtId="0" fontId="47" fillId="0" borderId="18" xfId="0" applyFont="1" applyFill="1" applyBorder="1" applyAlignment="1">
      <alignment horizontal="center" vertical="center" wrapText="1"/>
    </xf>
    <xf numFmtId="0" fontId="47" fillId="0" borderId="19" xfId="0" applyFont="1" applyFill="1" applyBorder="1" applyAlignment="1">
      <alignment horizontal="left" vertical="center" wrapText="1"/>
    </xf>
    <xf numFmtId="3" fontId="51" fillId="0" borderId="28" xfId="0" applyNumberFormat="1" applyFont="1" applyFill="1" applyBorder="1" applyAlignment="1">
      <alignment horizontal="center" vertical="center" wrapText="1"/>
    </xf>
    <xf numFmtId="3" fontId="52" fillId="0" borderId="20" xfId="44" applyNumberFormat="1" applyFont="1" applyFill="1" applyBorder="1" applyAlignment="1">
      <alignment horizontal="center" vertical="center"/>
    </xf>
    <xf numFmtId="174" fontId="51" fillId="0" borderId="19" xfId="0" applyNumberFormat="1" applyFont="1" applyFill="1" applyBorder="1" applyAlignment="1">
      <alignment horizontal="center" vertical="center" wrapText="1"/>
    </xf>
    <xf numFmtId="3" fontId="51" fillId="0" borderId="20" xfId="0" applyNumberFormat="1" applyFont="1" applyFill="1" applyBorder="1" applyAlignment="1">
      <alignment horizontal="center" vertical="center" wrapText="1"/>
    </xf>
    <xf numFmtId="0" fontId="56" fillId="36" borderId="15" xfId="0" applyFont="1" applyFill="1" applyBorder="1" applyAlignment="1">
      <alignment horizontal="center" vertical="center" wrapText="1"/>
    </xf>
    <xf numFmtId="0" fontId="56" fillId="36" borderId="16" xfId="0" applyFont="1" applyFill="1" applyBorder="1" applyAlignment="1">
      <alignment horizontal="center" vertical="center" wrapText="1"/>
    </xf>
    <xf numFmtId="3" fontId="57" fillId="36" borderId="29" xfId="0" applyNumberFormat="1" applyFont="1" applyFill="1" applyBorder="1" applyAlignment="1">
      <alignment horizontal="center" vertical="center" wrapText="1"/>
    </xf>
    <xf numFmtId="3" fontId="58" fillId="36" borderId="17" xfId="44" applyNumberFormat="1" applyFont="1" applyFill="1" applyBorder="1" applyAlignment="1">
      <alignment horizontal="center" vertical="center"/>
    </xf>
    <xf numFmtId="174" fontId="57" fillId="36" borderId="16" xfId="0" applyNumberFormat="1" applyFont="1" applyFill="1" applyBorder="1" applyAlignment="1">
      <alignment horizontal="center" vertical="center" wrapText="1"/>
    </xf>
    <xf numFmtId="3" fontId="57" fillId="36" borderId="17" xfId="0" applyNumberFormat="1" applyFont="1" applyFill="1" applyBorder="1" applyAlignment="1">
      <alignment horizontal="center" vertical="center" wrapText="1"/>
    </xf>
    <xf numFmtId="0" fontId="56" fillId="0" borderId="0" xfId="0" applyFont="1" applyFill="1"/>
    <xf numFmtId="173" fontId="57" fillId="0" borderId="1" xfId="1" applyNumberFormat="1" applyFont="1" applyFill="1" applyBorder="1" applyAlignment="1">
      <alignment horizontal="center" vertical="center"/>
    </xf>
    <xf numFmtId="3" fontId="47" fillId="0" borderId="0" xfId="0" quotePrefix="1" applyNumberFormat="1" applyFont="1" applyFill="1"/>
    <xf numFmtId="0" fontId="58" fillId="0" borderId="0" xfId="0" applyFont="1" applyFill="1" applyAlignment="1">
      <alignment horizontal="center" vertical="center" wrapText="1"/>
    </xf>
    <xf numFmtId="0" fontId="54" fillId="0" borderId="0" xfId="0" applyFont="1" applyFill="1" applyAlignment="1">
      <alignment horizontal="left"/>
    </xf>
    <xf numFmtId="3" fontId="51" fillId="0" borderId="6" xfId="0" applyNumberFormat="1" applyFont="1" applyFill="1" applyBorder="1" applyAlignment="1">
      <alignment horizontal="center" vertical="center" wrapText="1"/>
    </xf>
    <xf numFmtId="3" fontId="51" fillId="0" borderId="18" xfId="0" applyNumberFormat="1" applyFont="1" applyFill="1" applyBorder="1" applyAlignment="1">
      <alignment horizontal="center" vertical="center" wrapText="1"/>
    </xf>
    <xf numFmtId="3" fontId="57" fillId="36" borderId="16" xfId="0" applyNumberFormat="1" applyFont="1" applyFill="1" applyBorder="1" applyAlignment="1">
      <alignment horizontal="center" vertical="center" wrapText="1"/>
    </xf>
    <xf numFmtId="3" fontId="57" fillId="36" borderId="15" xfId="0" applyNumberFormat="1" applyFont="1" applyFill="1" applyBorder="1" applyAlignment="1">
      <alignment horizontal="center" vertical="center" wrapText="1"/>
    </xf>
    <xf numFmtId="0" fontId="56" fillId="0" borderId="0" xfId="0" applyFont="1" applyFill="1" applyBorder="1" applyAlignment="1">
      <alignment horizontal="center" vertical="center" wrapText="1"/>
    </xf>
    <xf numFmtId="3" fontId="57" fillId="0" borderId="0" xfId="0" applyNumberFormat="1" applyFont="1" applyFill="1" applyBorder="1" applyAlignment="1">
      <alignment horizontal="center" vertical="center" wrapText="1"/>
    </xf>
    <xf numFmtId="3" fontId="58" fillId="0" borderId="0" xfId="44" applyNumberFormat="1" applyFont="1" applyFill="1" applyBorder="1" applyAlignment="1">
      <alignment horizontal="center" vertical="center"/>
    </xf>
    <xf numFmtId="0" fontId="54" fillId="0" borderId="0" xfId="0" applyFont="1" applyFill="1" applyAlignment="1">
      <alignment horizontal="center"/>
    </xf>
    <xf numFmtId="164" fontId="47" fillId="0" borderId="0" xfId="1" applyFont="1" applyFill="1"/>
    <xf numFmtId="0" fontId="50" fillId="36" borderId="69" xfId="0" applyFont="1" applyFill="1" applyBorder="1" applyAlignment="1">
      <alignment horizontal="center" vertical="center" wrapText="1"/>
    </xf>
    <xf numFmtId="0" fontId="50" fillId="36" borderId="46" xfId="0" applyFont="1" applyFill="1" applyBorder="1" applyAlignment="1">
      <alignment horizontal="center" vertical="center" wrapText="1"/>
    </xf>
    <xf numFmtId="0" fontId="50" fillId="36" borderId="73" xfId="0" applyFont="1" applyFill="1" applyBorder="1" applyAlignment="1">
      <alignment horizontal="center" vertical="center" wrapText="1"/>
    </xf>
    <xf numFmtId="0" fontId="50" fillId="36" borderId="48" xfId="0" applyFont="1" applyFill="1" applyBorder="1" applyAlignment="1">
      <alignment horizontal="center" vertical="center" wrapText="1"/>
    </xf>
    <xf numFmtId="173" fontId="47" fillId="0" borderId="0" xfId="1" applyNumberFormat="1" applyFont="1" applyFill="1" applyBorder="1"/>
    <xf numFmtId="179" fontId="47" fillId="0" borderId="0" xfId="0" applyNumberFormat="1" applyFont="1" applyFill="1"/>
    <xf numFmtId="164" fontId="47" fillId="0" borderId="0" xfId="1" quotePrefix="1" applyFont="1" applyFill="1"/>
    <xf numFmtId="4" fontId="47" fillId="0" borderId="0" xfId="0" applyNumberFormat="1" applyFont="1" applyFill="1"/>
    <xf numFmtId="10" fontId="47" fillId="0" borderId="0" xfId="0" applyNumberFormat="1" applyFont="1" applyFill="1"/>
    <xf numFmtId="0" fontId="6" fillId="3" borderId="47" xfId="0" applyFont="1" applyFill="1" applyBorder="1" applyAlignment="1">
      <alignment horizontal="center" vertical="center" wrapText="1"/>
    </xf>
    <xf numFmtId="0" fontId="6" fillId="3" borderId="45" xfId="0" applyFont="1" applyFill="1" applyBorder="1" applyAlignment="1">
      <alignment horizontal="center" vertical="center" wrapText="1"/>
    </xf>
    <xf numFmtId="167" fontId="6" fillId="3" borderId="47" xfId="0" applyNumberFormat="1" applyFont="1" applyFill="1" applyBorder="1" applyAlignment="1">
      <alignment horizontal="center" vertical="center" wrapText="1"/>
    </xf>
    <xf numFmtId="167" fontId="6" fillId="3" borderId="74" xfId="0" applyNumberFormat="1" applyFont="1" applyFill="1" applyBorder="1" applyAlignment="1">
      <alignment horizontal="center" vertical="center" wrapText="1"/>
    </xf>
    <xf numFmtId="167" fontId="6" fillId="3" borderId="45"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left" vertical="center" wrapText="1"/>
    </xf>
    <xf numFmtId="172" fontId="14" fillId="0" borderId="3" xfId="0" applyNumberFormat="1" applyFont="1" applyFill="1" applyBorder="1" applyAlignment="1">
      <alignment horizontal="center" vertical="center" wrapText="1"/>
    </xf>
    <xf numFmtId="172" fontId="16" fillId="0" borderId="4" xfId="0" applyNumberFormat="1" applyFont="1" applyFill="1" applyBorder="1" applyAlignment="1">
      <alignment horizontal="center" vertical="center" wrapText="1"/>
    </xf>
    <xf numFmtId="172" fontId="18" fillId="0" borderId="45" xfId="0" applyNumberFormat="1" applyFont="1" applyFill="1" applyBorder="1" applyAlignment="1">
      <alignment horizontal="center" vertical="center" wrapText="1"/>
    </xf>
    <xf numFmtId="0" fontId="16" fillId="0" borderId="21" xfId="0" applyFont="1" applyFill="1" applyBorder="1" applyAlignment="1">
      <alignment horizontal="center" vertical="center" wrapText="1"/>
    </xf>
    <xf numFmtId="172" fontId="16" fillId="0" borderId="5" xfId="0" applyNumberFormat="1" applyFont="1" applyFill="1" applyBorder="1" applyAlignment="1">
      <alignment horizontal="center" vertical="center" wrapText="1"/>
    </xf>
    <xf numFmtId="167" fontId="20" fillId="3" borderId="47" xfId="0" applyNumberFormat="1" applyFont="1" applyFill="1" applyBorder="1" applyAlignment="1">
      <alignment horizontal="center" vertical="center" wrapText="1"/>
    </xf>
    <xf numFmtId="167" fontId="20" fillId="3" borderId="74" xfId="0" applyNumberFormat="1" applyFont="1" applyFill="1" applyBorder="1" applyAlignment="1">
      <alignment horizontal="center" vertical="center" wrapText="1"/>
    </xf>
    <xf numFmtId="167" fontId="20" fillId="3" borderId="75" xfId="0" applyNumberFormat="1" applyFont="1" applyFill="1" applyBorder="1" applyAlignment="1">
      <alignment horizontal="center" vertical="center" wrapText="1"/>
    </xf>
    <xf numFmtId="167" fontId="20" fillId="3" borderId="45" xfId="0" applyNumberFormat="1" applyFont="1" applyFill="1" applyBorder="1" applyAlignment="1">
      <alignment horizontal="center" vertical="center" wrapText="1"/>
    </xf>
    <xf numFmtId="167" fontId="6" fillId="3" borderId="75" xfId="0" applyNumberFormat="1" applyFont="1" applyFill="1" applyBorder="1" applyAlignment="1">
      <alignment horizontal="center" vertical="center" wrapText="1"/>
    </xf>
    <xf numFmtId="168" fontId="61" fillId="0" borderId="0" xfId="0" applyNumberFormat="1" applyFont="1" applyAlignment="1">
      <alignment horizontal="center" vertical="center" wrapText="1"/>
    </xf>
    <xf numFmtId="167" fontId="19" fillId="0" borderId="22" xfId="0" applyNumberFormat="1" applyFont="1" applyFill="1" applyBorder="1" applyAlignment="1">
      <alignment horizontal="center" vertical="center" wrapText="1"/>
    </xf>
    <xf numFmtId="173" fontId="2" fillId="0" borderId="0" xfId="1" applyNumberFormat="1" applyFont="1" applyAlignment="1">
      <alignment horizontal="center" vertical="center" wrapText="1"/>
    </xf>
    <xf numFmtId="173" fontId="2" fillId="0" borderId="0" xfId="0" applyNumberFormat="1" applyFont="1" applyAlignment="1">
      <alignment horizontal="center" vertical="center" wrapText="1"/>
    </xf>
    <xf numFmtId="180" fontId="0" fillId="0" borderId="0" xfId="0" applyNumberFormat="1"/>
    <xf numFmtId="3" fontId="51" fillId="0" borderId="12" xfId="0" applyNumberFormat="1" applyFont="1" applyFill="1" applyBorder="1" applyAlignment="1">
      <alignment horizontal="center" vertical="center" wrapText="1"/>
    </xf>
    <xf numFmtId="3" fontId="52" fillId="0" borderId="13" xfId="44" applyNumberFormat="1" applyFont="1" applyFill="1" applyBorder="1" applyAlignment="1">
      <alignment horizontal="center" vertical="center"/>
    </xf>
    <xf numFmtId="3" fontId="62" fillId="0" borderId="14" xfId="0" applyNumberFormat="1" applyFont="1" applyFill="1" applyBorder="1" applyAlignment="1">
      <alignment horizontal="center" vertical="center" wrapText="1"/>
    </xf>
    <xf numFmtId="3" fontId="62" fillId="0" borderId="8" xfId="0" applyNumberFormat="1" applyFont="1" applyFill="1" applyBorder="1" applyAlignment="1">
      <alignment horizontal="center" vertical="center" wrapText="1"/>
    </xf>
    <xf numFmtId="3" fontId="51" fillId="0" borderId="9" xfId="0" applyNumberFormat="1" applyFont="1" applyFill="1" applyBorder="1" applyAlignment="1">
      <alignment horizontal="center" vertical="center" wrapText="1"/>
    </xf>
    <xf numFmtId="3" fontId="52" fillId="0" borderId="10" xfId="44" applyNumberFormat="1" applyFont="1" applyFill="1" applyBorder="1" applyAlignment="1">
      <alignment horizontal="center" vertical="center"/>
    </xf>
    <xf numFmtId="3" fontId="62" fillId="0" borderId="11" xfId="0" applyNumberFormat="1" applyFont="1" applyFill="1" applyBorder="1" applyAlignment="1">
      <alignment horizontal="center" vertical="center" wrapText="1"/>
    </xf>
    <xf numFmtId="3" fontId="49" fillId="3" borderId="15" xfId="0" applyNumberFormat="1" applyFont="1" applyFill="1" applyBorder="1" applyAlignment="1">
      <alignment horizontal="center" vertical="center" wrapText="1"/>
    </xf>
    <xf numFmtId="3" fontId="49" fillId="3" borderId="17" xfId="0" applyNumberFormat="1" applyFont="1" applyFill="1" applyBorder="1" applyAlignment="1">
      <alignment horizontal="center" vertical="center" wrapText="1"/>
    </xf>
    <xf numFmtId="3" fontId="49" fillId="3" borderId="16" xfId="0" applyNumberFormat="1" applyFont="1" applyFill="1" applyBorder="1" applyAlignment="1">
      <alignment horizontal="center" vertical="center" wrapText="1"/>
    </xf>
    <xf numFmtId="3" fontId="49" fillId="3" borderId="29" xfId="0" applyNumberFormat="1" applyFont="1" applyFill="1" applyBorder="1" applyAlignment="1">
      <alignment horizontal="center" vertical="center" wrapText="1"/>
    </xf>
    <xf numFmtId="167" fontId="22" fillId="0" borderId="10" xfId="0" applyNumberFormat="1" applyFont="1" applyFill="1" applyBorder="1" applyAlignment="1">
      <alignment horizontal="center" vertical="center" wrapText="1"/>
    </xf>
    <xf numFmtId="3" fontId="62" fillId="0" borderId="7" xfId="0" applyNumberFormat="1" applyFont="1" applyFill="1" applyBorder="1" applyAlignment="1">
      <alignment horizontal="center" vertical="center" wrapText="1"/>
    </xf>
    <xf numFmtId="3" fontId="62" fillId="0" borderId="10" xfId="0" applyNumberFormat="1" applyFont="1" applyFill="1" applyBorder="1" applyAlignment="1">
      <alignment horizontal="center" vertical="center" wrapText="1"/>
    </xf>
    <xf numFmtId="0" fontId="49" fillId="3" borderId="10" xfId="0" applyFont="1" applyFill="1" applyBorder="1" applyAlignment="1">
      <alignment horizontal="center" vertical="center" wrapText="1"/>
    </xf>
    <xf numFmtId="3" fontId="62" fillId="0" borderId="13" xfId="0" applyNumberFormat="1" applyFont="1" applyFill="1" applyBorder="1" applyAlignment="1">
      <alignment horizontal="center" vertical="center" wrapText="1"/>
    </xf>
    <xf numFmtId="0" fontId="49" fillId="3" borderId="25" xfId="0" applyFont="1" applyFill="1" applyBorder="1" applyAlignment="1">
      <alignment horizontal="center" vertical="center" wrapText="1"/>
    </xf>
    <xf numFmtId="3" fontId="51" fillId="0" borderId="26" xfId="0" applyNumberFormat="1" applyFont="1" applyFill="1" applyBorder="1" applyAlignment="1">
      <alignment horizontal="center" vertical="center" wrapText="1"/>
    </xf>
    <xf numFmtId="3" fontId="51" fillId="0" borderId="25" xfId="0" applyNumberFormat="1" applyFont="1" applyFill="1" applyBorder="1" applyAlignment="1">
      <alignment horizontal="center" vertical="center" wrapText="1"/>
    </xf>
    <xf numFmtId="3" fontId="0" fillId="0" borderId="0" xfId="0" applyNumberFormat="1"/>
    <xf numFmtId="181" fontId="0" fillId="0" borderId="0" xfId="0" applyNumberFormat="1"/>
    <xf numFmtId="0" fontId="4" fillId="0" borderId="68" xfId="0" applyFont="1" applyBorder="1" applyAlignment="1">
      <alignment horizontal="center" wrapText="1"/>
    </xf>
    <xf numFmtId="164" fontId="0" fillId="0" borderId="0" xfId="1" applyFont="1"/>
    <xf numFmtId="0" fontId="63" fillId="0" borderId="0" xfId="0" applyFont="1"/>
    <xf numFmtId="0" fontId="13" fillId="0" borderId="0" xfId="0" applyFont="1" applyFill="1"/>
    <xf numFmtId="0" fontId="63" fillId="0" borderId="0" xfId="0" applyFont="1" applyFill="1"/>
    <xf numFmtId="0" fontId="65" fillId="0" borderId="0" xfId="0" applyFont="1" applyAlignment="1">
      <alignment horizontal="center"/>
    </xf>
    <xf numFmtId="0" fontId="67" fillId="36" borderId="10" xfId="0" applyFont="1" applyFill="1" applyBorder="1" applyAlignment="1">
      <alignment horizontal="center" vertical="center" wrapText="1"/>
    </xf>
    <xf numFmtId="173" fontId="67" fillId="36" borderId="15" xfId="1" applyNumberFormat="1" applyFont="1" applyFill="1" applyBorder="1" applyAlignment="1">
      <alignment horizontal="center" vertical="center" wrapText="1"/>
    </xf>
    <xf numFmtId="173" fontId="67" fillId="36" borderId="17" xfId="1" applyNumberFormat="1" applyFont="1" applyFill="1" applyBorder="1" applyAlignment="1">
      <alignment horizontal="center" vertical="center" wrapText="1"/>
    </xf>
    <xf numFmtId="173" fontId="67" fillId="36" borderId="16" xfId="1" applyNumberFormat="1" applyFont="1" applyFill="1" applyBorder="1" applyAlignment="1">
      <alignment horizontal="center" vertical="center" wrapText="1"/>
    </xf>
    <xf numFmtId="173" fontId="13" fillId="0" borderId="0" xfId="0" applyNumberFormat="1" applyFont="1"/>
    <xf numFmtId="0" fontId="13" fillId="0" borderId="0" xfId="0" applyFont="1"/>
    <xf numFmtId="0" fontId="71" fillId="0" borderId="12" xfId="0" applyFont="1" applyFill="1" applyBorder="1" applyAlignment="1">
      <alignment horizontal="center" vertical="center" wrapText="1"/>
    </xf>
    <xf numFmtId="173" fontId="71" fillId="0" borderId="13" xfId="1" applyNumberFormat="1" applyFont="1" applyFill="1" applyBorder="1" applyAlignment="1">
      <alignment horizontal="center" vertical="center" wrapText="1"/>
    </xf>
    <xf numFmtId="9" fontId="71" fillId="0" borderId="13" xfId="44" applyFont="1" applyFill="1" applyBorder="1" applyAlignment="1">
      <alignment horizontal="center" vertical="center" wrapText="1"/>
    </xf>
    <xf numFmtId="1" fontId="71" fillId="0" borderId="12" xfId="0" applyNumberFormat="1" applyFont="1" applyFill="1" applyBorder="1" applyAlignment="1">
      <alignment horizontal="center" vertical="center" wrapText="1"/>
    </xf>
    <xf numFmtId="173" fontId="71" fillId="0" borderId="12" xfId="1" applyNumberFormat="1" applyFont="1" applyFill="1" applyBorder="1" applyAlignment="1">
      <alignment horizontal="center" vertical="center" wrapText="1"/>
    </xf>
    <xf numFmtId="9" fontId="71" fillId="0" borderId="14" xfId="44" applyFont="1" applyFill="1" applyBorder="1" applyAlignment="1">
      <alignment horizontal="center" vertical="center" wrapText="1"/>
    </xf>
    <xf numFmtId="0" fontId="63" fillId="37" borderId="0" xfId="0" applyFont="1" applyFill="1"/>
    <xf numFmtId="0" fontId="72" fillId="0" borderId="8" xfId="0" applyFont="1" applyFill="1" applyBorder="1" applyAlignment="1">
      <alignment horizontal="center" vertical="center" wrapText="1"/>
    </xf>
    <xf numFmtId="173" fontId="71" fillId="0" borderId="7" xfId="1" applyNumberFormat="1" applyFont="1" applyFill="1" applyBorder="1" applyAlignment="1">
      <alignment horizontal="center" vertical="center" wrapText="1"/>
    </xf>
    <xf numFmtId="9" fontId="71" fillId="0" borderId="7" xfId="44" applyFont="1" applyFill="1" applyBorder="1" applyAlignment="1">
      <alignment horizontal="center" vertical="center" wrapText="1"/>
    </xf>
    <xf numFmtId="1" fontId="71" fillId="0" borderId="6" xfId="0" applyNumberFormat="1" applyFont="1" applyFill="1" applyBorder="1" applyAlignment="1">
      <alignment horizontal="center" vertical="center" wrapText="1"/>
    </xf>
    <xf numFmtId="173" fontId="71" fillId="0" borderId="6" xfId="1" applyNumberFormat="1" applyFont="1" applyFill="1" applyBorder="1" applyAlignment="1">
      <alignment horizontal="center" vertical="center" wrapText="1"/>
    </xf>
    <xf numFmtId="9" fontId="71" fillId="0" borderId="8" xfId="44" applyFont="1" applyFill="1" applyBorder="1" applyAlignment="1">
      <alignment horizontal="center" vertical="center" wrapText="1"/>
    </xf>
    <xf numFmtId="173" fontId="71" fillId="0" borderId="10" xfId="1" applyNumberFormat="1" applyFont="1" applyFill="1" applyBorder="1" applyAlignment="1">
      <alignment horizontal="center" vertical="center" wrapText="1"/>
    </xf>
    <xf numFmtId="9" fontId="71" fillId="0" borderId="10" xfId="44" applyFont="1" applyFill="1" applyBorder="1" applyAlignment="1">
      <alignment horizontal="center" vertical="center" wrapText="1"/>
    </xf>
    <xf numFmtId="1" fontId="71" fillId="0" borderId="9" xfId="0" applyNumberFormat="1" applyFont="1" applyFill="1" applyBorder="1" applyAlignment="1">
      <alignment horizontal="center" vertical="center" wrapText="1"/>
    </xf>
    <xf numFmtId="173" fontId="71" fillId="0" borderId="9" xfId="1" applyNumberFormat="1" applyFont="1" applyFill="1" applyBorder="1" applyAlignment="1">
      <alignment horizontal="center" vertical="center" wrapText="1"/>
    </xf>
    <xf numFmtId="9" fontId="71" fillId="0" borderId="11" xfId="44" applyFont="1" applyFill="1" applyBorder="1" applyAlignment="1">
      <alignment horizontal="center" vertical="center" wrapText="1"/>
    </xf>
    <xf numFmtId="0" fontId="27" fillId="0" borderId="0" xfId="0" applyFont="1" applyAlignment="1">
      <alignment vertical="center" wrapText="1"/>
    </xf>
    <xf numFmtId="0" fontId="76" fillId="0" borderId="0" xfId="0" applyFont="1" applyAlignment="1">
      <alignment horizontal="center"/>
    </xf>
    <xf numFmtId="0" fontId="66" fillId="0" borderId="0" xfId="0" applyFont="1" applyBorder="1" applyAlignment="1">
      <alignment horizontal="center"/>
    </xf>
    <xf numFmtId="0" fontId="70" fillId="36" borderId="19" xfId="0" applyFont="1" applyFill="1" applyBorder="1" applyAlignment="1">
      <alignment horizontal="center" vertical="center" wrapText="1"/>
    </xf>
    <xf numFmtId="0" fontId="67" fillId="36" borderId="18" xfId="0" applyFont="1" applyFill="1" applyBorder="1" applyAlignment="1">
      <alignment horizontal="center" vertical="center" wrapText="1"/>
    </xf>
    <xf numFmtId="0" fontId="67" fillId="36" borderId="20" xfId="0" applyFont="1" applyFill="1" applyBorder="1" applyAlignment="1">
      <alignment horizontal="center" vertical="center" wrapText="1"/>
    </xf>
    <xf numFmtId="0" fontId="67" fillId="36" borderId="28" xfId="0" applyFont="1" applyFill="1" applyBorder="1" applyAlignment="1">
      <alignment horizontal="center" vertical="center" wrapText="1"/>
    </xf>
    <xf numFmtId="0" fontId="67" fillId="36" borderId="19" xfId="0" applyFont="1" applyFill="1" applyBorder="1" applyAlignment="1">
      <alignment horizontal="center" vertical="center" wrapText="1"/>
    </xf>
    <xf numFmtId="9" fontId="67" fillId="36" borderId="16" xfId="44" applyFont="1" applyFill="1" applyBorder="1" applyAlignment="1">
      <alignment horizontal="center" vertical="center" wrapText="1"/>
    </xf>
    <xf numFmtId="0" fontId="72" fillId="0" borderId="3" xfId="0" applyFont="1" applyFill="1" applyBorder="1" applyAlignment="1">
      <alignment horizontal="center" vertical="center" wrapText="1"/>
    </xf>
    <xf numFmtId="0" fontId="72" fillId="0" borderId="5" xfId="0" applyFont="1" applyFill="1" applyBorder="1" applyAlignment="1">
      <alignment horizontal="center" vertical="center" wrapText="1"/>
    </xf>
    <xf numFmtId="166" fontId="72" fillId="0" borderId="4" xfId="1" applyNumberFormat="1" applyFont="1" applyFill="1" applyBorder="1" applyAlignment="1">
      <alignment horizontal="center" vertical="center" wrapText="1"/>
    </xf>
    <xf numFmtId="9" fontId="72" fillId="0" borderId="5" xfId="44" applyFont="1" applyFill="1" applyBorder="1" applyAlignment="1">
      <alignment horizontal="center" vertical="center" wrapText="1"/>
    </xf>
    <xf numFmtId="0" fontId="72" fillId="0" borderId="24" xfId="0" applyFont="1" applyFill="1" applyBorder="1" applyAlignment="1">
      <alignment horizontal="center" vertical="center" wrapText="1"/>
    </xf>
    <xf numFmtId="9" fontId="72" fillId="0" borderId="4" xfId="44" applyFont="1" applyFill="1" applyBorder="1" applyAlignment="1">
      <alignment horizontal="center" vertical="center" wrapText="1"/>
    </xf>
    <xf numFmtId="0" fontId="72" fillId="0" borderId="6" xfId="0" applyFont="1" applyFill="1" applyBorder="1" applyAlignment="1">
      <alignment horizontal="center" vertical="center" wrapText="1"/>
    </xf>
    <xf numFmtId="166" fontId="72" fillId="0" borderId="7" xfId="1" applyNumberFormat="1" applyFont="1" applyFill="1" applyBorder="1" applyAlignment="1">
      <alignment horizontal="center" vertical="center" wrapText="1"/>
    </xf>
    <xf numFmtId="9" fontId="72" fillId="0" borderId="8" xfId="44" applyFont="1" applyFill="1" applyBorder="1" applyAlignment="1">
      <alignment horizontal="center" vertical="center" wrapText="1"/>
    </xf>
    <xf numFmtId="0" fontId="72" fillId="0" borderId="27" xfId="0" applyFont="1" applyFill="1" applyBorder="1" applyAlignment="1">
      <alignment horizontal="center" vertical="center" wrapText="1"/>
    </xf>
    <xf numFmtId="9" fontId="72" fillId="0" borderId="13" xfId="44" applyFont="1" applyFill="1" applyBorder="1" applyAlignment="1">
      <alignment horizontal="center" vertical="center" wrapText="1"/>
    </xf>
    <xf numFmtId="9" fontId="72" fillId="0" borderId="14" xfId="44" applyFont="1" applyFill="1" applyBorder="1" applyAlignment="1">
      <alignment horizontal="center" vertical="center" wrapText="1"/>
    </xf>
    <xf numFmtId="0" fontId="63" fillId="0" borderId="6" xfId="0" applyFont="1" applyFill="1" applyBorder="1" applyAlignment="1">
      <alignment horizontal="center" vertical="center" wrapText="1"/>
    </xf>
    <xf numFmtId="166" fontId="63" fillId="0" borderId="7" xfId="1" applyNumberFormat="1" applyFont="1" applyFill="1" applyBorder="1" applyAlignment="1">
      <alignment horizontal="center" vertical="center" wrapText="1"/>
    </xf>
    <xf numFmtId="9" fontId="63" fillId="0" borderId="8" xfId="44" applyFont="1" applyFill="1" applyBorder="1" applyAlignment="1">
      <alignment horizontal="center" vertical="center" wrapText="1"/>
    </xf>
    <xf numFmtId="0" fontId="63" fillId="0" borderId="27" xfId="0" applyFont="1" applyFill="1" applyBorder="1" applyAlignment="1">
      <alignment horizontal="center" vertical="center" wrapText="1"/>
    </xf>
    <xf numFmtId="0" fontId="63" fillId="0" borderId="9" xfId="0" applyFont="1" applyFill="1" applyBorder="1" applyAlignment="1">
      <alignment horizontal="center" vertical="center" wrapText="1"/>
    </xf>
    <xf numFmtId="166" fontId="63" fillId="0" borderId="10" xfId="1" applyNumberFormat="1" applyFont="1" applyFill="1" applyBorder="1" applyAlignment="1">
      <alignment horizontal="center" vertical="center" wrapText="1"/>
    </xf>
    <xf numFmtId="9" fontId="63" fillId="0" borderId="11" xfId="44" applyFont="1" applyFill="1" applyBorder="1" applyAlignment="1">
      <alignment horizontal="center" vertical="center" wrapText="1"/>
    </xf>
    <xf numFmtId="0" fontId="63" fillId="0" borderId="25" xfId="0" applyFont="1" applyFill="1" applyBorder="1" applyAlignment="1">
      <alignment horizontal="center" vertical="center" wrapText="1"/>
    </xf>
    <xf numFmtId="9" fontId="72" fillId="0" borderId="22" xfId="44" applyFont="1" applyFill="1" applyBorder="1" applyAlignment="1">
      <alignment horizontal="center" vertical="center" wrapText="1"/>
    </xf>
    <xf numFmtId="9" fontId="72" fillId="0" borderId="23" xfId="44" applyFont="1" applyFill="1" applyBorder="1" applyAlignment="1">
      <alignment horizontal="center" vertical="center" wrapText="1"/>
    </xf>
    <xf numFmtId="0" fontId="4" fillId="0" borderId="68" xfId="0" applyFont="1" applyBorder="1" applyAlignment="1">
      <alignment horizontal="right" wrapText="1"/>
    </xf>
    <xf numFmtId="0" fontId="4" fillId="0" borderId="68" xfId="0" applyFont="1" applyBorder="1" applyAlignment="1">
      <alignment horizontal="left" wrapText="1"/>
    </xf>
    <xf numFmtId="14" fontId="4" fillId="0" borderId="68" xfId="0" applyNumberFormat="1" applyFont="1" applyBorder="1" applyAlignment="1">
      <alignment horizontal="center" wrapText="1"/>
    </xf>
    <xf numFmtId="4" fontId="4" fillId="0" borderId="68" xfId="0" applyNumberFormat="1" applyFont="1" applyBorder="1" applyAlignment="1">
      <alignment horizontal="right" wrapText="1"/>
    </xf>
    <xf numFmtId="4" fontId="4" fillId="38" borderId="68" xfId="0" applyNumberFormat="1" applyFont="1" applyFill="1" applyBorder="1" applyAlignment="1">
      <alignment horizontal="right" wrapText="1"/>
    </xf>
    <xf numFmtId="4" fontId="0" fillId="0" borderId="0" xfId="0" applyNumberFormat="1"/>
    <xf numFmtId="172" fontId="2" fillId="0" borderId="0" xfId="0" applyNumberFormat="1" applyFont="1" applyAlignment="1">
      <alignment horizontal="center" vertical="center" wrapText="1"/>
    </xf>
    <xf numFmtId="9" fontId="0" fillId="0" borderId="0" xfId="44" applyFont="1"/>
    <xf numFmtId="4" fontId="4" fillId="0" borderId="68" xfId="0" applyNumberFormat="1" applyFont="1" applyFill="1" applyBorder="1" applyAlignment="1">
      <alignment horizontal="right" wrapText="1"/>
    </xf>
    <xf numFmtId="173" fontId="71" fillId="38" borderId="13" xfId="1" applyNumberFormat="1" applyFont="1" applyFill="1" applyBorder="1" applyAlignment="1">
      <alignment horizontal="center" vertical="center" wrapText="1"/>
    </xf>
    <xf numFmtId="173" fontId="71" fillId="38" borderId="7" xfId="1" applyNumberFormat="1" applyFont="1" applyFill="1" applyBorder="1" applyAlignment="1">
      <alignment horizontal="center" vertical="center" wrapText="1"/>
    </xf>
    <xf numFmtId="173" fontId="71" fillId="38" borderId="10" xfId="1" applyNumberFormat="1" applyFont="1" applyFill="1" applyBorder="1" applyAlignment="1">
      <alignment horizontal="center" vertical="center" wrapText="1"/>
    </xf>
    <xf numFmtId="173" fontId="63" fillId="0" borderId="0" xfId="0" applyNumberFormat="1" applyFont="1"/>
    <xf numFmtId="0" fontId="78" fillId="0" borderId="14" xfId="0" applyFont="1" applyFill="1" applyBorder="1" applyAlignment="1">
      <alignment horizontal="center" vertical="center" wrapText="1"/>
    </xf>
    <xf numFmtId="0" fontId="78" fillId="0" borderId="8" xfId="0" applyFont="1" applyFill="1" applyBorder="1" applyAlignment="1">
      <alignment horizontal="center" vertical="center" wrapText="1"/>
    </xf>
    <xf numFmtId="0" fontId="78" fillId="37" borderId="8" xfId="0" applyFont="1" applyFill="1" applyBorder="1" applyAlignment="1">
      <alignment horizontal="center" vertical="center" wrapText="1"/>
    </xf>
    <xf numFmtId="1" fontId="80" fillId="0" borderId="0" xfId="0" applyNumberFormat="1" applyFont="1"/>
    <xf numFmtId="0" fontId="78" fillId="37" borderId="11" xfId="0" applyFont="1" applyFill="1" applyBorder="1" applyAlignment="1">
      <alignment horizontal="center" vertical="center" wrapText="1"/>
    </xf>
    <xf numFmtId="0" fontId="67" fillId="36" borderId="18"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70" fillId="36" borderId="19" xfId="0" applyFont="1" applyFill="1" applyBorder="1" applyAlignment="1">
      <alignment horizontal="center" vertical="center" wrapText="1"/>
    </xf>
    <xf numFmtId="0" fontId="72" fillId="0" borderId="4" xfId="1" applyNumberFormat="1" applyFont="1" applyFill="1" applyBorder="1" applyAlignment="1">
      <alignment horizontal="center" vertical="center" wrapText="1"/>
    </xf>
    <xf numFmtId="0" fontId="72" fillId="0" borderId="7" xfId="1" applyNumberFormat="1" applyFont="1" applyFill="1" applyBorder="1" applyAlignment="1">
      <alignment horizontal="center" vertical="center" wrapText="1"/>
    </xf>
    <xf numFmtId="0" fontId="63" fillId="0" borderId="7" xfId="1" applyNumberFormat="1" applyFont="1" applyFill="1" applyBorder="1" applyAlignment="1">
      <alignment horizontal="center" vertical="center" wrapText="1"/>
    </xf>
    <xf numFmtId="0" fontId="63" fillId="0" borderId="10" xfId="1" applyNumberFormat="1" applyFont="1" applyFill="1" applyBorder="1" applyAlignment="1">
      <alignment horizontal="center" vertical="center" wrapText="1"/>
    </xf>
    <xf numFmtId="0" fontId="67" fillId="36" borderId="17" xfId="1" applyNumberFormat="1" applyFont="1" applyFill="1" applyBorder="1" applyAlignment="1">
      <alignment horizontal="center" vertical="center" wrapText="1"/>
    </xf>
    <xf numFmtId="0" fontId="72" fillId="0" borderId="3" xfId="0" applyNumberFormat="1" applyFont="1" applyFill="1" applyBorder="1" applyAlignment="1">
      <alignment horizontal="center" vertical="center" wrapText="1"/>
    </xf>
    <xf numFmtId="14" fontId="77" fillId="0" borderId="0" xfId="0" applyNumberFormat="1" applyFont="1" applyAlignment="1">
      <alignment horizontal="center"/>
    </xf>
    <xf numFmtId="0" fontId="79" fillId="38" borderId="7" xfId="0" applyNumberFormat="1" applyFont="1" applyFill="1" applyBorder="1" applyAlignment="1">
      <alignment horizontal="center" vertical="center" wrapText="1"/>
    </xf>
    <xf numFmtId="172"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81" fillId="0" borderId="0" xfId="0" applyFont="1" applyFill="1"/>
    <xf numFmtId="167" fontId="63" fillId="37" borderId="0" xfId="0" applyNumberFormat="1" applyFont="1" applyFill="1"/>
    <xf numFmtId="0" fontId="67" fillId="36" borderId="32" xfId="0" applyFont="1" applyFill="1" applyBorder="1" applyAlignment="1">
      <alignment horizontal="center" vertical="center" wrapText="1"/>
    </xf>
    <xf numFmtId="173" fontId="67" fillId="36" borderId="34" xfId="1" applyNumberFormat="1" applyFont="1" applyFill="1" applyBorder="1" applyAlignment="1">
      <alignment horizontal="center" vertical="center" wrapText="1"/>
    </xf>
    <xf numFmtId="9" fontId="71" fillId="0" borderId="35" xfId="44" applyFont="1" applyFill="1" applyBorder="1" applyAlignment="1">
      <alignment horizontal="center" vertical="center" wrapText="1"/>
    </xf>
    <xf numFmtId="9" fontId="71" fillId="0" borderId="37" xfId="44" applyFont="1" applyFill="1" applyBorder="1" applyAlignment="1">
      <alignment horizontal="center" vertical="center" wrapText="1"/>
    </xf>
    <xf numFmtId="9" fontId="71" fillId="0" borderId="32" xfId="44" applyFont="1" applyFill="1" applyBorder="1" applyAlignment="1">
      <alignment horizontal="center" vertical="center" wrapText="1"/>
    </xf>
    <xf numFmtId="173" fontId="67" fillId="36" borderId="77" xfId="1" applyNumberFormat="1" applyFont="1" applyFill="1" applyBorder="1" applyAlignment="1">
      <alignment horizontal="center" vertical="center" wrapText="1"/>
    </xf>
    <xf numFmtId="0" fontId="71" fillId="38" borderId="12" xfId="44" applyNumberFormat="1" applyFont="1" applyFill="1" applyBorder="1" applyAlignment="1">
      <alignment horizontal="center" vertical="center" wrapText="1"/>
    </xf>
    <xf numFmtId="0" fontId="71" fillId="38" borderId="80" xfId="44" applyNumberFormat="1" applyFont="1" applyFill="1" applyBorder="1" applyAlignment="1">
      <alignment horizontal="center" vertical="center" wrapText="1"/>
    </xf>
    <xf numFmtId="0" fontId="71" fillId="38" borderId="6" xfId="44" applyNumberFormat="1" applyFont="1" applyFill="1" applyBorder="1" applyAlignment="1">
      <alignment horizontal="center" vertical="center" wrapText="1"/>
    </xf>
    <xf numFmtId="0" fontId="71" fillId="38" borderId="49" xfId="44" applyNumberFormat="1" applyFont="1" applyFill="1" applyBorder="1" applyAlignment="1">
      <alignment horizontal="center" vertical="center" wrapText="1"/>
    </xf>
    <xf numFmtId="0" fontId="71" fillId="38" borderId="9" xfId="44" applyNumberFormat="1" applyFont="1" applyFill="1" applyBorder="1" applyAlignment="1">
      <alignment horizontal="center" vertical="center" wrapText="1"/>
    </xf>
    <xf numFmtId="0" fontId="71" fillId="38" borderId="88" xfId="44" applyNumberFormat="1" applyFont="1" applyFill="1" applyBorder="1" applyAlignment="1">
      <alignment horizontal="center" vertical="center" wrapText="1"/>
    </xf>
    <xf numFmtId="0" fontId="63" fillId="0" borderId="1" xfId="0" applyFont="1" applyBorder="1"/>
    <xf numFmtId="173" fontId="13" fillId="0" borderId="1" xfId="0" applyNumberFormat="1" applyFont="1" applyBorder="1"/>
    <xf numFmtId="0" fontId="13" fillId="0" borderId="1" xfId="0" applyFont="1" applyBorder="1"/>
    <xf numFmtId="0" fontId="63" fillId="37" borderId="1" xfId="0" applyFont="1" applyFill="1" applyBorder="1"/>
    <xf numFmtId="9" fontId="71" fillId="38" borderId="6" xfId="44" applyNumberFormat="1"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64" fillId="0" borderId="0" xfId="0" applyFont="1" applyAlignment="1">
      <alignment horizontal="center"/>
    </xf>
    <xf numFmtId="0" fontId="67" fillId="36" borderId="18"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70" fillId="36" borderId="19" xfId="0" applyFont="1" applyFill="1" applyBorder="1" applyAlignment="1">
      <alignment horizontal="center" vertical="center" wrapText="1"/>
    </xf>
    <xf numFmtId="0" fontId="75" fillId="0" borderId="0" xfId="0" applyFont="1" applyAlignment="1">
      <alignment horizontal="center"/>
    </xf>
    <xf numFmtId="0" fontId="71" fillId="0" borderId="21" xfId="0" applyFont="1" applyFill="1" applyBorder="1" applyAlignment="1">
      <alignment horizontal="center" vertical="center" wrapText="1"/>
    </xf>
    <xf numFmtId="167" fontId="63" fillId="0" borderId="0" xfId="0" applyNumberFormat="1" applyFont="1"/>
    <xf numFmtId="0" fontId="72" fillId="0" borderId="11" xfId="0" applyFont="1" applyFill="1" applyBorder="1" applyAlignment="1">
      <alignment horizontal="center" vertical="center" wrapText="1"/>
    </xf>
    <xf numFmtId="0" fontId="72" fillId="0" borderId="9" xfId="0" applyFont="1" applyFill="1" applyBorder="1" applyAlignment="1">
      <alignment horizontal="center" vertical="center" wrapText="1"/>
    </xf>
    <xf numFmtId="0" fontId="72" fillId="38" borderId="4" xfId="1" applyNumberFormat="1" applyFont="1" applyFill="1" applyBorder="1" applyAlignment="1">
      <alignment horizontal="center" vertical="center" wrapText="1"/>
    </xf>
    <xf numFmtId="0" fontId="63" fillId="38" borderId="7" xfId="1" applyNumberFormat="1" applyFont="1" applyFill="1" applyBorder="1" applyAlignment="1">
      <alignment horizontal="center" vertical="center" wrapText="1"/>
    </xf>
    <xf numFmtId="0" fontId="63" fillId="38" borderId="10" xfId="1" applyNumberFormat="1" applyFont="1" applyFill="1" applyBorder="1" applyAlignment="1">
      <alignment horizontal="center" vertical="center" wrapText="1"/>
    </xf>
    <xf numFmtId="0" fontId="72" fillId="38" borderId="7" xfId="0" applyNumberFormat="1" applyFont="1" applyFill="1" applyBorder="1" applyAlignment="1">
      <alignment horizontal="center" vertical="center" wrapText="1"/>
    </xf>
    <xf numFmtId="0" fontId="63" fillId="38" borderId="7" xfId="0" applyNumberFormat="1" applyFont="1" applyFill="1" applyBorder="1" applyAlignment="1">
      <alignment horizontal="center" vertical="center" wrapText="1"/>
    </xf>
    <xf numFmtId="0" fontId="63" fillId="38" borderId="10" xfId="0" applyNumberFormat="1" applyFont="1" applyFill="1" applyBorder="1" applyAlignment="1">
      <alignment horizontal="center" vertical="center" wrapText="1"/>
    </xf>
    <xf numFmtId="0" fontId="67" fillId="36" borderId="15" xfId="0" applyNumberFormat="1" applyFont="1" applyFill="1" applyBorder="1" applyAlignment="1">
      <alignment horizontal="center" vertical="center" wrapText="1"/>
    </xf>
    <xf numFmtId="0" fontId="67" fillId="36" borderId="29" xfId="0" applyNumberFormat="1" applyFont="1" applyFill="1" applyBorder="1" applyAlignment="1">
      <alignment horizontal="center" vertical="center" wrapText="1"/>
    </xf>
    <xf numFmtId="0" fontId="72" fillId="0" borderId="6" xfId="0" applyNumberFormat="1" applyFont="1" applyFill="1" applyBorder="1" applyAlignment="1">
      <alignment horizontal="center" vertical="center" wrapText="1"/>
    </xf>
    <xf numFmtId="0" fontId="63" fillId="0" borderId="6" xfId="0" applyNumberFormat="1" applyFont="1" applyFill="1" applyBorder="1" applyAlignment="1">
      <alignment horizontal="center" vertical="center" wrapText="1"/>
    </xf>
    <xf numFmtId="0" fontId="63" fillId="0" borderId="9" xfId="0" applyNumberFormat="1" applyFont="1" applyFill="1" applyBorder="1" applyAlignment="1">
      <alignment horizontal="center" vertical="center" wrapText="1"/>
    </xf>
    <xf numFmtId="0" fontId="72" fillId="0" borderId="24" xfId="0" applyNumberFormat="1" applyFont="1" applyFill="1" applyBorder="1" applyAlignment="1">
      <alignment horizontal="center" vertical="center" wrapText="1"/>
    </xf>
    <xf numFmtId="0" fontId="72" fillId="0" borderId="27" xfId="0" applyNumberFormat="1" applyFont="1" applyFill="1" applyBorder="1" applyAlignment="1">
      <alignment horizontal="center" vertical="center" wrapText="1"/>
    </xf>
    <xf numFmtId="0" fontId="63" fillId="0" borderId="27" xfId="0" applyNumberFormat="1" applyFont="1" applyFill="1" applyBorder="1" applyAlignment="1">
      <alignment horizontal="center" vertical="center" wrapText="1"/>
    </xf>
    <xf numFmtId="0" fontId="63" fillId="0" borderId="25" xfId="0" applyNumberFormat="1" applyFont="1" applyFill="1" applyBorder="1" applyAlignment="1">
      <alignment horizontal="center" vertical="center" wrapText="1"/>
    </xf>
    <xf numFmtId="0" fontId="82" fillId="0" borderId="0" xfId="0" applyFont="1" applyAlignment="1">
      <alignment horizontal="center"/>
    </xf>
    <xf numFmtId="0" fontId="25" fillId="0" borderId="0" xfId="0" applyFont="1" applyAlignment="1">
      <alignment horizontal="center"/>
    </xf>
    <xf numFmtId="0" fontId="63" fillId="3" borderId="1" xfId="0" applyFont="1" applyFill="1" applyBorder="1" applyAlignment="1">
      <alignment horizontal="center" vertical="center" wrapText="1"/>
    </xf>
    <xf numFmtId="173" fontId="26" fillId="0" borderId="0" xfId="0" applyNumberFormat="1" applyFont="1" applyFill="1"/>
    <xf numFmtId="173" fontId="26" fillId="0" borderId="1" xfId="0" applyNumberFormat="1" applyFont="1" applyFill="1" applyBorder="1"/>
    <xf numFmtId="0" fontId="77" fillId="0" borderId="0" xfId="0" applyFont="1" applyFill="1"/>
    <xf numFmtId="0" fontId="26" fillId="0" borderId="1" xfId="0" applyFont="1" applyFill="1" applyBorder="1"/>
    <xf numFmtId="0" fontId="77" fillId="0" borderId="1" xfId="0" applyFont="1" applyFill="1" applyBorder="1"/>
    <xf numFmtId="1" fontId="26" fillId="0" borderId="0" xfId="0" applyNumberFormat="1" applyFont="1"/>
    <xf numFmtId="0" fontId="77" fillId="0" borderId="0" xfId="0" applyFont="1"/>
    <xf numFmtId="0" fontId="26" fillId="0" borderId="0" xfId="0" applyFont="1"/>
    <xf numFmtId="0" fontId="77" fillId="37" borderId="0" xfId="0" applyFont="1" applyFill="1"/>
    <xf numFmtId="167" fontId="77" fillId="37" borderId="0" xfId="0" applyNumberFormat="1" applyFont="1" applyFill="1"/>
    <xf numFmtId="1" fontId="77" fillId="0" borderId="0" xfId="0" applyNumberFormat="1" applyFont="1"/>
    <xf numFmtId="0" fontId="77" fillId="0" borderId="0" xfId="0" applyFont="1" applyAlignment="1"/>
    <xf numFmtId="10" fontId="67" fillId="36" borderId="17" xfId="1" applyNumberFormat="1" applyFont="1" applyFill="1" applyBorder="1" applyAlignment="1">
      <alignment horizontal="center" vertical="center" wrapText="1"/>
    </xf>
    <xf numFmtId="10" fontId="67" fillId="36" borderId="16" xfId="1" applyNumberFormat="1" applyFont="1" applyFill="1" applyBorder="1" applyAlignment="1">
      <alignment horizontal="center" vertical="center" wrapText="1"/>
    </xf>
    <xf numFmtId="0" fontId="63" fillId="3" borderId="92" xfId="0" applyFont="1" applyFill="1" applyBorder="1" applyAlignment="1">
      <alignment horizontal="center" vertical="center" wrapText="1"/>
    </xf>
    <xf numFmtId="164" fontId="77" fillId="0" borderId="0" xfId="0" applyNumberFormat="1" applyFont="1" applyFill="1"/>
    <xf numFmtId="3" fontId="77" fillId="0" borderId="1" xfId="0" applyNumberFormat="1" applyFont="1" applyFill="1" applyBorder="1"/>
    <xf numFmtId="0" fontId="77" fillId="0" borderId="1" xfId="0" applyFont="1" applyBorder="1"/>
    <xf numFmtId="3" fontId="77" fillId="0" borderId="1" xfId="0" applyNumberFormat="1" applyFont="1" applyBorder="1"/>
    <xf numFmtId="0" fontId="83" fillId="0" borderId="0" xfId="0" applyFont="1"/>
    <xf numFmtId="0" fontId="79" fillId="0" borderId="0" xfId="0" applyFont="1"/>
    <xf numFmtId="0" fontId="79" fillId="0" borderId="0" xfId="0" applyFont="1" applyAlignment="1">
      <alignment horizontal="center"/>
    </xf>
    <xf numFmtId="0" fontId="84" fillId="0" borderId="0" xfId="0" applyFont="1"/>
    <xf numFmtId="0" fontId="85" fillId="0" borderId="0" xfId="0" applyFont="1" applyBorder="1" applyAlignment="1">
      <alignment horizontal="center" vertical="center" wrapText="1"/>
    </xf>
    <xf numFmtId="0" fontId="79" fillId="0" borderId="0" xfId="0" applyFont="1" applyAlignment="1">
      <alignment horizontal="center" vertical="top"/>
    </xf>
    <xf numFmtId="0" fontId="83" fillId="0" borderId="0" xfId="0" applyFont="1" applyAlignment="1">
      <alignment horizontal="left" vertical="center" wrapText="1"/>
    </xf>
    <xf numFmtId="3" fontId="71" fillId="38" borderId="49" xfId="44" applyNumberFormat="1" applyFont="1" applyFill="1" applyBorder="1" applyAlignment="1">
      <alignment horizontal="center" vertical="center" wrapText="1"/>
    </xf>
    <xf numFmtId="3" fontId="63" fillId="0" borderId="0" xfId="0" applyNumberFormat="1" applyFont="1"/>
    <xf numFmtId="3" fontId="63" fillId="0" borderId="1" xfId="0" applyNumberFormat="1" applyFont="1" applyBorder="1"/>
    <xf numFmtId="165" fontId="0" fillId="0" borderId="0" xfId="0" applyNumberFormat="1"/>
    <xf numFmtId="1" fontId="0" fillId="0" borderId="0" xfId="0" applyNumberFormat="1"/>
    <xf numFmtId="174" fontId="0" fillId="0" borderId="0" xfId="0" applyNumberFormat="1"/>
    <xf numFmtId="0" fontId="67" fillId="36" borderId="18"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70" fillId="36" borderId="19" xfId="0" applyFont="1" applyFill="1" applyBorder="1" applyAlignment="1">
      <alignment horizontal="center" vertical="center" wrapText="1"/>
    </xf>
    <xf numFmtId="167" fontId="22" fillId="0" borderId="4" xfId="0" applyNumberFormat="1" applyFont="1" applyFill="1" applyBorder="1" applyAlignment="1">
      <alignment horizontal="center" vertical="center" wrapText="1"/>
    </xf>
    <xf numFmtId="167" fontId="22" fillId="0" borderId="7" xfId="0" applyNumberFormat="1"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164" fontId="19" fillId="0" borderId="7" xfId="1" applyFont="1" applyBorder="1" applyAlignment="1">
      <alignment horizontal="center" vertical="center" wrapText="1"/>
    </xf>
    <xf numFmtId="169" fontId="19" fillId="0" borderId="7" xfId="0" applyNumberFormat="1" applyFont="1" applyFill="1" applyBorder="1" applyAlignment="1">
      <alignment horizontal="center" vertical="center" wrapText="1"/>
    </xf>
    <xf numFmtId="0" fontId="50" fillId="3" borderId="3" xfId="0" applyFont="1" applyFill="1" applyBorder="1" applyAlignment="1">
      <alignment horizontal="center" vertical="center" wrapText="1"/>
    </xf>
    <xf numFmtId="3" fontId="49" fillId="3" borderId="4" xfId="0" applyNumberFormat="1" applyFont="1" applyFill="1" applyBorder="1" applyAlignment="1">
      <alignment horizontal="center" vertical="center" wrapText="1"/>
    </xf>
    <xf numFmtId="3" fontId="49" fillId="3" borderId="5" xfId="0" applyNumberFormat="1" applyFont="1" applyFill="1" applyBorder="1" applyAlignment="1">
      <alignment horizontal="center" vertical="center" wrapText="1"/>
    </xf>
    <xf numFmtId="0" fontId="50" fillId="3" borderId="33" xfId="0" applyFont="1" applyFill="1" applyBorder="1" applyAlignment="1">
      <alignment horizontal="center" vertical="center" wrapText="1"/>
    </xf>
    <xf numFmtId="3" fontId="49" fillId="3" borderId="3" xfId="0" applyNumberFormat="1" applyFont="1" applyFill="1" applyBorder="1" applyAlignment="1">
      <alignment horizontal="center" vertical="center" wrapText="1"/>
    </xf>
    <xf numFmtId="3" fontId="49" fillId="3" borderId="33" xfId="0" applyNumberFormat="1"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6" fillId="0" borderId="36" xfId="0" applyFont="1" applyBorder="1" applyAlignment="1">
      <alignment horizontal="center" vertical="center" wrapText="1"/>
    </xf>
    <xf numFmtId="0" fontId="87" fillId="0" borderId="0" xfId="0" applyFont="1" applyFill="1" applyAlignment="1">
      <alignment horizontal="center" vertical="center" wrapText="1"/>
    </xf>
    <xf numFmtId="0" fontId="44" fillId="0" borderId="0" xfId="0"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164" fontId="19" fillId="0" borderId="10" xfId="1" applyFont="1" applyBorder="1" applyAlignment="1">
      <alignment horizontal="center" vertical="center" wrapText="1"/>
    </xf>
    <xf numFmtId="167" fontId="21" fillId="0" borderId="6" xfId="0" applyNumberFormat="1" applyFont="1" applyFill="1" applyBorder="1" applyAlignment="1">
      <alignment horizontal="center" vertical="center" wrapText="1"/>
    </xf>
    <xf numFmtId="167" fontId="21" fillId="0" borderId="7" xfId="0" applyNumberFormat="1" applyFont="1" applyFill="1" applyBorder="1" applyAlignment="1">
      <alignment horizontal="center" vertical="center" wrapText="1"/>
    </xf>
    <xf numFmtId="167" fontId="21" fillId="0" borderId="9" xfId="0" applyNumberFormat="1" applyFont="1" applyFill="1" applyBorder="1" applyAlignment="1">
      <alignment horizontal="center" vertical="center" wrapText="1"/>
    </xf>
    <xf numFmtId="167" fontId="21" fillId="0" borderId="10" xfId="0" applyNumberFormat="1" applyFont="1" applyFill="1" applyBorder="1" applyAlignment="1">
      <alignment horizontal="center" vertical="center" wrapText="1"/>
    </xf>
    <xf numFmtId="0" fontId="54" fillId="0" borderId="70" xfId="0" applyFont="1" applyFill="1" applyBorder="1" applyAlignment="1">
      <alignment horizontal="left" vertical="center" wrapText="1"/>
    </xf>
    <xf numFmtId="0" fontId="0" fillId="0" borderId="76" xfId="0" applyBorder="1"/>
    <xf numFmtId="0" fontId="0" fillId="0" borderId="93" xfId="0" applyBorder="1"/>
    <xf numFmtId="14" fontId="77" fillId="0" borderId="0" xfId="0" applyNumberFormat="1" applyFont="1"/>
    <xf numFmtId="167" fontId="19" fillId="0" borderId="0" xfId="0" applyNumberFormat="1" applyFont="1" applyAlignment="1">
      <alignment horizontal="center" vertical="center" wrapText="1"/>
    </xf>
    <xf numFmtId="0" fontId="0" fillId="0" borderId="94" xfId="0" applyBorder="1"/>
    <xf numFmtId="0" fontId="0" fillId="0" borderId="95" xfId="0" applyBorder="1"/>
    <xf numFmtId="0" fontId="67" fillId="36" borderId="18" xfId="0"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83" fillId="0" borderId="0" xfId="0" applyFont="1" applyAlignment="1">
      <alignment horizontal="left" vertical="center" wrapText="1"/>
    </xf>
    <xf numFmtId="0" fontId="70" fillId="36" borderId="19" xfId="0" applyFont="1" applyFill="1" applyBorder="1" applyAlignment="1">
      <alignment horizontal="center" vertical="center" wrapText="1"/>
    </xf>
    <xf numFmtId="167" fontId="22" fillId="37" borderId="4" xfId="0" applyNumberFormat="1" applyFont="1" applyFill="1" applyBorder="1" applyAlignment="1">
      <alignment horizontal="center" vertical="center" wrapText="1"/>
    </xf>
    <xf numFmtId="0" fontId="22" fillId="37" borderId="7" xfId="0" applyNumberFormat="1" applyFont="1" applyFill="1" applyBorder="1" applyAlignment="1">
      <alignment horizontal="center" vertical="center" wrapText="1"/>
    </xf>
    <xf numFmtId="166" fontId="19" fillId="37" borderId="7" xfId="1" applyNumberFormat="1" applyFont="1" applyFill="1" applyBorder="1" applyAlignment="1">
      <alignment horizontal="center" vertical="center" wrapText="1"/>
    </xf>
    <xf numFmtId="167" fontId="19" fillId="37" borderId="0" xfId="0" applyNumberFormat="1" applyFont="1" applyFill="1" applyAlignment="1">
      <alignment horizontal="center" vertical="center" wrapText="1"/>
    </xf>
    <xf numFmtId="164" fontId="19" fillId="37" borderId="7" xfId="1" applyFont="1" applyFill="1" applyBorder="1" applyAlignment="1">
      <alignment horizontal="center" vertical="center" wrapText="1"/>
    </xf>
    <xf numFmtId="0" fontId="22" fillId="37" borderId="10" xfId="0" applyNumberFormat="1" applyFont="1" applyFill="1" applyBorder="1" applyAlignment="1">
      <alignment horizontal="center" vertical="center" wrapText="1"/>
    </xf>
    <xf numFmtId="164" fontId="19" fillId="37" borderId="10" xfId="1" applyFont="1" applyFill="1" applyBorder="1" applyAlignment="1">
      <alignment horizontal="center" vertical="center" wrapText="1"/>
    </xf>
    <xf numFmtId="0" fontId="20" fillId="3" borderId="36" xfId="0" applyNumberFormat="1" applyFont="1" applyFill="1" applyBorder="1" applyAlignment="1">
      <alignment horizontal="center" vertical="center" wrapText="1"/>
    </xf>
    <xf numFmtId="167" fontId="20" fillId="3" borderId="36" xfId="0" applyNumberFormat="1" applyFont="1" applyFill="1" applyBorder="1" applyAlignment="1">
      <alignment horizontal="center" vertical="center" wrapText="1"/>
    </xf>
    <xf numFmtId="164" fontId="19" fillId="0" borderId="0" xfId="0" applyNumberFormat="1" applyFont="1" applyAlignment="1">
      <alignment horizontal="center" vertical="center" wrapText="1"/>
    </xf>
    <xf numFmtId="0" fontId="67" fillId="36" borderId="18" xfId="0"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83" fillId="0" borderId="0" xfId="0" applyFont="1" applyAlignment="1">
      <alignment horizontal="left" vertical="center" wrapText="1"/>
    </xf>
    <xf numFmtId="0" fontId="70" fillId="36" borderId="19"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63" fillId="0" borderId="0" xfId="0" applyNumberFormat="1" applyFont="1" applyFill="1" applyBorder="1" applyAlignment="1">
      <alignment horizontal="center" vertical="center" wrapText="1"/>
    </xf>
    <xf numFmtId="0" fontId="63" fillId="0" borderId="0" xfId="1" applyNumberFormat="1" applyFont="1" applyFill="1" applyBorder="1" applyAlignment="1">
      <alignment horizontal="center" vertical="center" wrapText="1"/>
    </xf>
    <xf numFmtId="9" fontId="63" fillId="0" borderId="0" xfId="44" applyFont="1" applyFill="1" applyBorder="1" applyAlignment="1">
      <alignment horizontal="center" vertical="center" wrapText="1"/>
    </xf>
    <xf numFmtId="9" fontId="72" fillId="0" borderId="0" xfId="44" applyFont="1" applyFill="1" applyBorder="1" applyAlignment="1">
      <alignment horizontal="center" vertical="center" wrapText="1"/>
    </xf>
    <xf numFmtId="0" fontId="63" fillId="37" borderId="0" xfId="0" applyNumberFormat="1" applyFont="1" applyFill="1" applyBorder="1" applyAlignment="1">
      <alignment horizontal="center" vertical="center" wrapText="1"/>
    </xf>
    <xf numFmtId="9" fontId="72" fillId="37" borderId="0" xfId="44"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11" xfId="0" applyFont="1" applyFill="1" applyBorder="1" applyAlignment="1">
      <alignment horizontal="center" vertical="center" wrapText="1"/>
    </xf>
    <xf numFmtId="0" fontId="44" fillId="0" borderId="0" xfId="0" applyFont="1" applyFill="1" applyAlignment="1">
      <alignment horizontal="center" vertical="center" wrapText="1"/>
    </xf>
    <xf numFmtId="0" fontId="63" fillId="38" borderId="96" xfId="1" applyNumberFormat="1" applyFont="1" applyFill="1" applyBorder="1" applyAlignment="1">
      <alignment horizontal="center" vertical="center" wrapText="1"/>
    </xf>
    <xf numFmtId="168" fontId="49" fillId="3" borderId="17" xfId="0" applyNumberFormat="1" applyFont="1" applyFill="1" applyBorder="1" applyAlignment="1">
      <alignment horizontal="center" vertical="center" wrapText="1"/>
    </xf>
    <xf numFmtId="3" fontId="51" fillId="0" borderId="81" xfId="0" applyNumberFormat="1" applyFont="1" applyFill="1" applyBorder="1" applyAlignment="1">
      <alignment horizontal="center" vertical="center" wrapText="1"/>
    </xf>
    <xf numFmtId="3" fontId="52" fillId="0" borderId="22" xfId="44" applyNumberFormat="1" applyFont="1" applyFill="1" applyBorder="1" applyAlignment="1">
      <alignment horizontal="center" vertical="center"/>
    </xf>
    <xf numFmtId="3" fontId="51" fillId="0" borderId="0" xfId="0" applyNumberFormat="1" applyFont="1" applyFill="1" applyBorder="1" applyAlignment="1">
      <alignment horizontal="center" vertical="center" wrapText="1"/>
    </xf>
    <xf numFmtId="0" fontId="50" fillId="3" borderId="86" xfId="0" applyFont="1" applyFill="1" applyBorder="1" applyAlignment="1">
      <alignment horizontal="center" vertical="center" wrapText="1"/>
    </xf>
    <xf numFmtId="3" fontId="49" fillId="3" borderId="48" xfId="0" applyNumberFormat="1" applyFont="1" applyFill="1" applyBorder="1" applyAlignment="1">
      <alignment horizontal="center" vertical="center" wrapText="1"/>
    </xf>
    <xf numFmtId="168" fontId="49" fillId="3" borderId="69" xfId="0" applyNumberFormat="1" applyFont="1" applyFill="1" applyBorder="1" applyAlignment="1">
      <alignment horizontal="center" vertical="center" wrapText="1"/>
    </xf>
    <xf numFmtId="3" fontId="49" fillId="3" borderId="69" xfId="0" applyNumberFormat="1" applyFont="1" applyFill="1" applyBorder="1" applyAlignment="1">
      <alignment horizontal="center" vertical="center" wrapText="1"/>
    </xf>
    <xf numFmtId="3" fontId="49" fillId="3" borderId="46" xfId="0" applyNumberFormat="1" applyFont="1" applyFill="1" applyBorder="1" applyAlignment="1">
      <alignment horizontal="center" vertical="center" wrapText="1"/>
    </xf>
    <xf numFmtId="3" fontId="49" fillId="3" borderId="73" xfId="0" applyNumberFormat="1" applyFont="1" applyFill="1" applyBorder="1" applyAlignment="1">
      <alignment horizontal="center" vertical="center" wrapText="1"/>
    </xf>
    <xf numFmtId="0" fontId="67" fillId="36" borderId="18" xfId="0"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70" fillId="36" borderId="19" xfId="0" applyFont="1" applyFill="1" applyBorder="1" applyAlignment="1">
      <alignment horizontal="center" vertical="center" wrapText="1"/>
    </xf>
    <xf numFmtId="164" fontId="19" fillId="37" borderId="37" xfId="1" applyFont="1" applyFill="1" applyBorder="1" applyAlignment="1">
      <alignment horizontal="center" vertical="center" wrapText="1"/>
    </xf>
    <xf numFmtId="164" fontId="19" fillId="37" borderId="1" xfId="1" applyFont="1" applyFill="1" applyBorder="1" applyAlignment="1">
      <alignment horizontal="center" vertical="center" wrapText="1"/>
    </xf>
    <xf numFmtId="0" fontId="78" fillId="0" borderId="14" xfId="0" applyFont="1" applyBorder="1" applyAlignment="1">
      <alignment horizontal="center" vertical="center" wrapText="1"/>
    </xf>
    <xf numFmtId="1" fontId="71" fillId="0" borderId="12" xfId="0" applyNumberFormat="1" applyFont="1" applyBorder="1" applyAlignment="1">
      <alignment horizontal="center" vertical="center" wrapText="1"/>
    </xf>
    <xf numFmtId="0" fontId="78" fillId="0" borderId="8" xfId="0" applyFont="1" applyBorder="1" applyAlignment="1">
      <alignment horizontal="center" vertical="center" wrapText="1"/>
    </xf>
    <xf numFmtId="1" fontId="71" fillId="0" borderId="6" xfId="0" applyNumberFormat="1" applyFont="1" applyBorder="1" applyAlignment="1">
      <alignment horizontal="center" vertical="center" wrapText="1"/>
    </xf>
    <xf numFmtId="1" fontId="71" fillId="0" borderId="9" xfId="0" applyNumberFormat="1" applyFont="1" applyBorder="1" applyAlignment="1">
      <alignment horizontal="center" vertical="center" wrapText="1"/>
    </xf>
    <xf numFmtId="168" fontId="71" fillId="38" borderId="49" xfId="44" applyNumberFormat="1" applyFont="1" applyFill="1" applyBorder="1" applyAlignment="1">
      <alignment horizontal="center" vertical="center" wrapText="1"/>
    </xf>
    <xf numFmtId="173" fontId="71" fillId="37" borderId="7" xfId="1" applyNumberFormat="1" applyFont="1" applyFill="1" applyBorder="1" applyAlignment="1">
      <alignment horizontal="center" vertical="center" wrapText="1"/>
    </xf>
    <xf numFmtId="0" fontId="72" fillId="0" borderId="3"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24" xfId="0" applyFont="1" applyBorder="1" applyAlignment="1">
      <alignment horizontal="center" vertical="center" wrapText="1"/>
    </xf>
    <xf numFmtId="0" fontId="72" fillId="37" borderId="4" xfId="1" applyNumberFormat="1" applyFont="1" applyFill="1" applyBorder="1" applyAlignment="1">
      <alignment horizontal="center" vertical="center" wrapText="1"/>
    </xf>
    <xf numFmtId="0" fontId="72" fillId="0" borderId="6"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27" xfId="0" applyFont="1" applyBorder="1" applyAlignment="1">
      <alignment horizontal="center" vertical="center" wrapText="1"/>
    </xf>
    <xf numFmtId="0" fontId="72" fillId="37" borderId="7" xfId="0" applyFont="1" applyFill="1" applyBorder="1" applyAlignment="1">
      <alignment horizontal="center" vertical="center" wrapText="1"/>
    </xf>
    <xf numFmtId="0" fontId="72" fillId="38" borderId="7" xfId="0" applyFont="1" applyFill="1" applyBorder="1" applyAlignment="1">
      <alignment horizontal="center" vertical="center" wrapText="1"/>
    </xf>
    <xf numFmtId="0" fontId="63" fillId="0" borderId="6" xfId="0" applyFont="1" applyBorder="1" applyAlignment="1">
      <alignment horizontal="center" vertical="center" wrapText="1"/>
    </xf>
    <xf numFmtId="0" fontId="63" fillId="0" borderId="27" xfId="0" applyFont="1" applyBorder="1" applyAlignment="1">
      <alignment horizontal="center" vertical="center" wrapText="1"/>
    </xf>
    <xf numFmtId="0" fontId="63" fillId="37" borderId="7" xfId="0" applyFont="1" applyFill="1" applyBorder="1" applyAlignment="1">
      <alignment horizontal="center" vertical="center" wrapText="1"/>
    </xf>
    <xf numFmtId="0" fontId="63" fillId="38" borderId="7" xfId="0" applyFont="1" applyFill="1" applyBorder="1" applyAlignment="1">
      <alignment horizontal="center" vertical="center" wrapText="1"/>
    </xf>
    <xf numFmtId="0" fontId="79" fillId="38" borderId="7" xfId="0" applyFont="1" applyFill="1" applyBorder="1" applyAlignment="1">
      <alignment horizontal="center" vertical="center" wrapText="1"/>
    </xf>
    <xf numFmtId="0" fontId="63" fillId="37" borderId="7" xfId="1" applyNumberFormat="1" applyFont="1" applyFill="1" applyBorder="1" applyAlignment="1">
      <alignment horizontal="center" vertical="center" wrapText="1"/>
    </xf>
    <xf numFmtId="0" fontId="72" fillId="0" borderId="9" xfId="0" applyFont="1" applyBorder="1" applyAlignment="1">
      <alignment horizontal="center" vertical="center" wrapText="1"/>
    </xf>
    <xf numFmtId="0" fontId="72" fillId="0" borderId="11"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25" xfId="0" applyFont="1" applyBorder="1" applyAlignment="1">
      <alignment horizontal="center" vertical="center" wrapText="1"/>
    </xf>
    <xf numFmtId="0" fontId="63" fillId="37" borderId="10" xfId="0" applyFont="1" applyFill="1" applyBorder="1" applyAlignment="1">
      <alignment horizontal="center" vertical="center" wrapText="1"/>
    </xf>
    <xf numFmtId="0" fontId="63" fillId="38" borderId="10" xfId="0" applyFont="1" applyFill="1" applyBorder="1" applyAlignment="1">
      <alignment horizontal="center" vertical="center" wrapText="1"/>
    </xf>
    <xf numFmtId="0" fontId="71" fillId="0" borderId="5" xfId="0" applyFont="1" applyBorder="1" applyAlignment="1">
      <alignment horizontal="center" vertical="center" wrapText="1"/>
    </xf>
    <xf numFmtId="0" fontId="71" fillId="0" borderId="8" xfId="0" applyFont="1" applyBorder="1" applyAlignment="1">
      <alignment horizontal="center" vertical="center" wrapText="1"/>
    </xf>
    <xf numFmtId="0" fontId="71" fillId="38" borderId="7" xfId="0" applyFont="1" applyFill="1" applyBorder="1" applyAlignment="1">
      <alignment horizontal="center" vertical="center" wrapText="1"/>
    </xf>
    <xf numFmtId="0" fontId="71" fillId="0" borderId="11" xfId="0" applyFont="1" applyBorder="1" applyAlignment="1">
      <alignment horizontal="center" vertical="center" wrapText="1"/>
    </xf>
    <xf numFmtId="0" fontId="79" fillId="38" borderId="10" xfId="0" applyFont="1" applyFill="1" applyBorder="1" applyAlignment="1">
      <alignment horizontal="center" vertical="center" wrapText="1"/>
    </xf>
    <xf numFmtId="165" fontId="72" fillId="38" borderId="4" xfId="1" applyNumberFormat="1" applyFont="1" applyFill="1" applyBorder="1" applyAlignment="1">
      <alignment horizontal="center" vertical="center" wrapText="1"/>
    </xf>
    <xf numFmtId="165" fontId="63" fillId="38" borderId="7" xfId="1" applyNumberFormat="1" applyFont="1" applyFill="1" applyBorder="1" applyAlignment="1">
      <alignment horizontal="center" vertical="center" wrapText="1"/>
    </xf>
    <xf numFmtId="165" fontId="63" fillId="0" borderId="0" xfId="0" applyNumberFormat="1" applyFont="1"/>
    <xf numFmtId="0" fontId="78" fillId="37" borderId="14" xfId="0" applyFont="1" applyFill="1" applyBorder="1" applyAlignment="1">
      <alignment horizontal="center" vertical="center" wrapText="1"/>
    </xf>
    <xf numFmtId="0" fontId="83" fillId="37" borderId="0" xfId="0" applyFont="1" applyFill="1"/>
    <xf numFmtId="3" fontId="52" fillId="0" borderId="27" xfId="44" applyNumberFormat="1" applyFont="1" applyFill="1" applyBorder="1" applyAlignment="1">
      <alignment horizontal="center" vertical="center"/>
    </xf>
    <xf numFmtId="3" fontId="52" fillId="0" borderId="0" xfId="44" applyNumberFormat="1" applyFont="1" applyFill="1" applyBorder="1" applyAlignment="1">
      <alignment horizontal="center" vertical="center"/>
    </xf>
    <xf numFmtId="0" fontId="47" fillId="0" borderId="41"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97" xfId="0" applyFont="1" applyFill="1" applyBorder="1" applyAlignment="1">
      <alignment horizontal="center" vertical="center" wrapText="1"/>
    </xf>
    <xf numFmtId="3" fontId="51" fillId="0" borderId="38" xfId="0" applyNumberFormat="1" applyFont="1" applyFill="1" applyBorder="1" applyAlignment="1">
      <alignment horizontal="center" vertical="center" wrapText="1"/>
    </xf>
    <xf numFmtId="0" fontId="50" fillId="3" borderId="98" xfId="0" applyFont="1" applyFill="1" applyBorder="1" applyAlignment="1">
      <alignment horizontal="center" vertical="center" wrapText="1"/>
    </xf>
    <xf numFmtId="0" fontId="47" fillId="0" borderId="44" xfId="0" applyFont="1" applyFill="1" applyBorder="1" applyAlignment="1">
      <alignment horizontal="left" vertical="center" wrapText="1"/>
    </xf>
    <xf numFmtId="0" fontId="47" fillId="0" borderId="99" xfId="0" applyFont="1" applyFill="1" applyBorder="1" applyAlignment="1">
      <alignment horizontal="left" vertical="center" wrapText="1"/>
    </xf>
    <xf numFmtId="0" fontId="47" fillId="0" borderId="100" xfId="0" applyFont="1" applyFill="1" applyBorder="1" applyAlignment="1">
      <alignment horizontal="left" vertical="center" wrapText="1"/>
    </xf>
    <xf numFmtId="0" fontId="67" fillId="36" borderId="18" xfId="0"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70" fillId="36" borderId="19" xfId="0" applyFont="1" applyFill="1" applyBorder="1" applyAlignment="1">
      <alignment horizontal="center" vertical="center" wrapText="1"/>
    </xf>
    <xf numFmtId="166" fontId="19" fillId="38" borderId="1" xfId="1" applyNumberFormat="1" applyFont="1" applyFill="1" applyBorder="1" applyAlignment="1">
      <alignment vertical="center" wrapText="1"/>
    </xf>
    <xf numFmtId="166" fontId="19" fillId="0" borderId="1" xfId="1" applyNumberFormat="1" applyFont="1" applyFill="1" applyBorder="1" applyAlignment="1">
      <alignment vertical="center" wrapText="1"/>
    </xf>
    <xf numFmtId="0" fontId="6" fillId="0" borderId="92" xfId="0" applyFont="1" applyFill="1" applyBorder="1" applyAlignment="1">
      <alignment horizontal="center" vertical="center" wrapText="1"/>
    </xf>
    <xf numFmtId="164" fontId="19" fillId="0" borderId="103" xfId="1" applyFont="1" applyFill="1" applyBorder="1" applyAlignment="1">
      <alignment horizontal="center" vertical="center" wrapText="1"/>
    </xf>
    <xf numFmtId="167" fontId="22" fillId="0" borderId="26" xfId="0" applyNumberFormat="1" applyFont="1" applyFill="1" applyBorder="1" applyAlignment="1">
      <alignment horizontal="center" vertical="center" wrapText="1"/>
    </xf>
    <xf numFmtId="0" fontId="20" fillId="3" borderId="40" xfId="0" applyNumberFormat="1" applyFont="1" applyFill="1" applyBorder="1" applyAlignment="1">
      <alignment horizontal="center" vertical="center" wrapText="1"/>
    </xf>
    <xf numFmtId="0" fontId="20" fillId="3" borderId="34" xfId="0" applyNumberFormat="1" applyFont="1" applyFill="1" applyBorder="1" applyAlignment="1">
      <alignment horizontal="center" vertical="center" wrapText="1"/>
    </xf>
    <xf numFmtId="1" fontId="63" fillId="38" borderId="7" xfId="1" applyNumberFormat="1" applyFont="1" applyFill="1" applyBorder="1" applyAlignment="1">
      <alignment horizontal="center" vertical="center" wrapText="1"/>
    </xf>
    <xf numFmtId="165" fontId="20" fillId="3" borderId="34" xfId="0" applyNumberFormat="1" applyFont="1" applyFill="1" applyBorder="1" applyAlignment="1">
      <alignment horizontal="center" vertical="center" wrapText="1"/>
    </xf>
    <xf numFmtId="164" fontId="19" fillId="38" borderId="103" xfId="1" applyFont="1" applyFill="1" applyBorder="1" applyAlignment="1">
      <alignment horizontal="center" vertical="center" wrapText="1"/>
    </xf>
    <xf numFmtId="173" fontId="2" fillId="37" borderId="1" xfId="1" applyNumberFormat="1" applyFont="1" applyFill="1" applyBorder="1" applyAlignment="1">
      <alignment vertical="center" wrapText="1"/>
    </xf>
    <xf numFmtId="173" fontId="19" fillId="37" borderId="1" xfId="1" applyNumberFormat="1" applyFont="1" applyFill="1" applyBorder="1" applyAlignment="1">
      <alignment vertical="center" wrapText="1"/>
    </xf>
    <xf numFmtId="173" fontId="19" fillId="37" borderId="103" xfId="1" applyNumberFormat="1" applyFont="1" applyFill="1" applyBorder="1" applyAlignment="1">
      <alignment horizontal="center" vertical="center" wrapText="1"/>
    </xf>
    <xf numFmtId="164" fontId="19" fillId="37" borderId="103" xfId="1" applyFont="1" applyFill="1" applyBorder="1" applyAlignment="1">
      <alignment horizontal="center" vertical="center" wrapText="1"/>
    </xf>
    <xf numFmtId="0" fontId="4" fillId="0" borderId="0" xfId="0" applyFont="1" applyAlignment="1">
      <alignment horizontal="left"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1"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01"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6" fillId="0" borderId="87"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1" xfId="0" applyFont="1" applyBorder="1" applyAlignment="1">
      <alignment horizontal="center" vertical="center" wrapText="1"/>
    </xf>
    <xf numFmtId="0" fontId="6" fillId="37" borderId="89" xfId="0" applyFont="1" applyFill="1" applyBorder="1" applyAlignment="1">
      <alignment horizontal="center" vertical="center" wrapText="1"/>
    </xf>
    <xf numFmtId="0" fontId="6" fillId="37" borderId="91" xfId="0" applyFont="1" applyFill="1" applyBorder="1" applyAlignment="1">
      <alignment horizontal="center" vertical="center" wrapText="1"/>
    </xf>
    <xf numFmtId="0" fontId="4" fillId="0" borderId="65" xfId="0" applyFont="1" applyBorder="1" applyAlignment="1">
      <alignment horizontal="center" wrapText="1"/>
    </xf>
    <xf numFmtId="0" fontId="4" fillId="0" borderId="66" xfId="0" applyFont="1" applyBorder="1" applyAlignment="1">
      <alignment horizontal="center" wrapText="1"/>
    </xf>
    <xf numFmtId="0" fontId="4" fillId="0" borderId="67" xfId="0"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left" wrapText="1"/>
    </xf>
    <xf numFmtId="0" fontId="4" fillId="0" borderId="0" xfId="0" applyFont="1" applyAlignment="1">
      <alignment horizontal="right" wrapText="1"/>
    </xf>
    <xf numFmtId="0" fontId="50" fillId="3" borderId="40" xfId="0" applyFont="1" applyFill="1" applyBorder="1" applyAlignment="1">
      <alignment horizontal="center" vertical="center" wrapText="1"/>
    </xf>
    <xf numFmtId="0" fontId="50" fillId="3" borderId="77" xfId="0" applyFont="1" applyFill="1" applyBorder="1" applyAlignment="1">
      <alignment horizontal="center" vertical="center" wrapText="1"/>
    </xf>
    <xf numFmtId="0" fontId="86" fillId="0" borderId="76" xfId="0" applyFont="1" applyBorder="1" applyAlignment="1">
      <alignment horizontal="center"/>
    </xf>
    <xf numFmtId="0" fontId="48" fillId="0" borderId="76" xfId="0" applyFont="1" applyFill="1" applyBorder="1" applyAlignment="1">
      <alignment horizontal="center"/>
    </xf>
    <xf numFmtId="0" fontId="49" fillId="3" borderId="47" xfId="0" applyFont="1" applyFill="1" applyBorder="1" applyAlignment="1">
      <alignment horizontal="center" vertical="center" wrapText="1"/>
    </xf>
    <xf numFmtId="0" fontId="49" fillId="3" borderId="21" xfId="0" applyFont="1" applyFill="1" applyBorder="1" applyAlignment="1">
      <alignment horizontal="center" vertical="center" wrapText="1"/>
    </xf>
    <xf numFmtId="0" fontId="49" fillId="3" borderId="45" xfId="0" applyFont="1" applyFill="1" applyBorder="1" applyAlignment="1">
      <alignment horizontal="center" vertical="center" wrapText="1"/>
    </xf>
    <xf numFmtId="0" fontId="49" fillId="3" borderId="23" xfId="0" applyFont="1" applyFill="1" applyBorder="1" applyAlignment="1">
      <alignment horizontal="center" vertical="center" wrapText="1"/>
    </xf>
    <xf numFmtId="0" fontId="49" fillId="3" borderId="50" xfId="0" applyFont="1" applyFill="1" applyBorder="1" applyAlignment="1">
      <alignment horizontal="center" vertical="center" wrapText="1"/>
    </xf>
    <xf numFmtId="0" fontId="49" fillId="3" borderId="51" xfId="0" applyFont="1" applyFill="1" applyBorder="1" applyAlignment="1">
      <alignment horizontal="center" vertical="center" wrapText="1"/>
    </xf>
    <xf numFmtId="0" fontId="49" fillId="3" borderId="52" xfId="0" applyFont="1" applyFill="1" applyBorder="1" applyAlignment="1">
      <alignment horizontal="center" vertical="center" wrapText="1"/>
    </xf>
    <xf numFmtId="0" fontId="44" fillId="0" borderId="0" xfId="0" applyFont="1" applyFill="1" applyAlignment="1">
      <alignment horizontal="center" vertical="center" wrapText="1"/>
    </xf>
    <xf numFmtId="14" fontId="54" fillId="0" borderId="76" xfId="0" applyNumberFormat="1" applyFont="1" applyFill="1" applyBorder="1" applyAlignment="1">
      <alignment horizontal="center"/>
    </xf>
    <xf numFmtId="0" fontId="88" fillId="0" borderId="2" xfId="0" applyFont="1" applyBorder="1" applyAlignment="1">
      <alignment horizontal="center"/>
    </xf>
    <xf numFmtId="0" fontId="48" fillId="0" borderId="2" xfId="0" applyFont="1" applyFill="1" applyBorder="1" applyAlignment="1">
      <alignment horizontal="center"/>
    </xf>
    <xf numFmtId="0" fontId="67" fillId="36" borderId="40" xfId="0" applyFont="1" applyFill="1" applyBorder="1" applyAlignment="1">
      <alignment horizontal="center" vertical="center" wrapText="1"/>
    </xf>
    <xf numFmtId="0" fontId="67" fillId="36" borderId="77" xfId="0" applyFont="1" applyFill="1" applyBorder="1" applyAlignment="1">
      <alignment horizontal="center" vertical="center" wrapText="1"/>
    </xf>
    <xf numFmtId="0" fontId="67" fillId="36" borderId="47" xfId="0" applyFont="1" applyFill="1" applyBorder="1" applyAlignment="1">
      <alignment horizontal="center" vertical="center" wrapText="1"/>
    </xf>
    <xf numFmtId="0" fontId="67" fillId="36" borderId="48" xfId="0" applyFont="1" applyFill="1" applyBorder="1" applyAlignment="1">
      <alignment horizontal="center" vertical="center" wrapText="1"/>
    </xf>
    <xf numFmtId="0" fontId="67" fillId="36" borderId="21" xfId="0" applyFont="1" applyFill="1" applyBorder="1" applyAlignment="1">
      <alignment horizontal="center" vertical="center" wrapText="1"/>
    </xf>
    <xf numFmtId="0" fontId="67" fillId="36" borderId="45" xfId="0" applyFont="1" applyFill="1" applyBorder="1" applyAlignment="1">
      <alignment horizontal="center" vertical="center" wrapText="1"/>
    </xf>
    <xf numFmtId="0" fontId="67" fillId="36" borderId="46" xfId="0" applyFont="1" applyFill="1" applyBorder="1" applyAlignment="1">
      <alignment horizontal="center" vertical="center" wrapText="1"/>
    </xf>
    <xf numFmtId="0" fontId="67" fillId="36" borderId="23" xfId="0" applyFont="1" applyFill="1" applyBorder="1" applyAlignment="1">
      <alignment horizontal="center" vertical="center" wrapText="1"/>
    </xf>
    <xf numFmtId="0" fontId="68" fillId="36" borderId="50" xfId="0" applyFont="1" applyFill="1" applyBorder="1" applyAlignment="1">
      <alignment horizontal="center" vertical="center" wrapText="1"/>
    </xf>
    <xf numFmtId="0" fontId="68" fillId="36" borderId="51" xfId="0" applyFont="1" applyFill="1" applyBorder="1" applyAlignment="1">
      <alignment horizontal="center" vertical="center" wrapText="1"/>
    </xf>
    <xf numFmtId="0" fontId="68" fillId="36" borderId="52" xfId="0" applyFont="1" applyFill="1" applyBorder="1" applyAlignment="1">
      <alignment horizontal="center" vertical="center" wrapText="1"/>
    </xf>
    <xf numFmtId="0" fontId="68" fillId="36" borderId="82" xfId="0" applyFont="1" applyFill="1" applyBorder="1" applyAlignment="1">
      <alignment horizontal="center" vertical="center" wrapText="1"/>
    </xf>
    <xf numFmtId="0" fontId="68" fillId="36" borderId="84" xfId="0" applyFont="1" applyFill="1" applyBorder="1" applyAlignment="1">
      <alignment horizontal="center" vertical="center" wrapText="1"/>
    </xf>
    <xf numFmtId="0" fontId="68" fillId="36" borderId="86" xfId="0" applyFont="1" applyFill="1" applyBorder="1" applyAlignment="1">
      <alignment horizontal="center" vertical="center" wrapText="1"/>
    </xf>
    <xf numFmtId="0" fontId="68" fillId="36" borderId="87" xfId="0" applyFont="1" applyFill="1" applyBorder="1" applyAlignment="1">
      <alignment horizontal="center" vertical="center" wrapText="1"/>
    </xf>
    <xf numFmtId="0" fontId="68" fillId="36" borderId="41" xfId="0" applyFont="1" applyFill="1" applyBorder="1" applyAlignment="1">
      <alignment horizontal="center" vertical="center" wrapText="1"/>
    </xf>
    <xf numFmtId="0" fontId="68" fillId="36" borderId="80" xfId="0" applyFont="1" applyFill="1" applyBorder="1" applyAlignment="1">
      <alignment horizontal="center" vertical="center" wrapText="1"/>
    </xf>
    <xf numFmtId="0" fontId="69" fillId="36" borderId="40" xfId="0" applyFont="1" applyFill="1" applyBorder="1" applyAlignment="1">
      <alignment horizontal="center" vertical="center" wrapText="1"/>
    </xf>
    <xf numFmtId="0" fontId="69" fillId="36" borderId="76" xfId="0" applyFont="1" applyFill="1" applyBorder="1" applyAlignment="1">
      <alignment horizontal="center" vertical="center" wrapText="1"/>
    </xf>
    <xf numFmtId="0" fontId="69" fillId="36" borderId="77" xfId="0" applyFont="1" applyFill="1" applyBorder="1" applyAlignment="1">
      <alignment horizontal="center" vertical="center" wrapText="1"/>
    </xf>
    <xf numFmtId="0" fontId="70" fillId="36" borderId="78" xfId="0" applyFont="1" applyFill="1" applyBorder="1" applyAlignment="1">
      <alignment horizontal="center" vertical="center" wrapText="1"/>
    </xf>
    <xf numFmtId="0" fontId="70" fillId="36" borderId="28" xfId="0" applyFont="1" applyFill="1" applyBorder="1" applyAlignment="1">
      <alignment horizontal="center" vertical="center" wrapText="1"/>
    </xf>
    <xf numFmtId="0" fontId="70" fillId="36" borderId="41" xfId="0" applyFont="1" applyFill="1" applyBorder="1" applyAlignment="1">
      <alignment horizontal="center" vertical="center" wrapText="1"/>
    </xf>
    <xf numFmtId="0" fontId="70" fillId="36" borderId="26" xfId="0" applyFont="1" applyFill="1" applyBorder="1" applyAlignment="1">
      <alignment horizontal="center" vertical="center" wrapText="1"/>
    </xf>
    <xf numFmtId="0" fontId="70" fillId="36" borderId="30" xfId="0" applyFont="1" applyFill="1" applyBorder="1" applyAlignment="1">
      <alignment horizontal="center" vertical="center" wrapText="1"/>
    </xf>
    <xf numFmtId="0" fontId="70" fillId="36" borderId="35" xfId="0" applyFont="1" applyFill="1" applyBorder="1" applyAlignment="1">
      <alignment horizontal="center" vertical="center" wrapText="1"/>
    </xf>
    <xf numFmtId="0" fontId="70" fillId="36" borderId="79" xfId="0" applyFont="1" applyFill="1" applyBorder="1" applyAlignment="1">
      <alignment horizontal="center" vertical="center" wrapText="1"/>
    </xf>
    <xf numFmtId="0" fontId="70" fillId="36" borderId="80" xfId="0" applyFont="1" applyFill="1" applyBorder="1" applyAlignment="1">
      <alignment horizontal="center" vertical="center" wrapText="1"/>
    </xf>
    <xf numFmtId="0" fontId="70" fillId="36" borderId="50" xfId="0" applyFont="1" applyFill="1" applyBorder="1" applyAlignment="1">
      <alignment horizontal="center" vertical="center" wrapText="1"/>
    </xf>
    <xf numFmtId="0" fontId="70" fillId="36" borderId="51" xfId="0" applyFont="1" applyFill="1" applyBorder="1" applyAlignment="1">
      <alignment horizontal="center" vertical="center" wrapText="1"/>
    </xf>
    <xf numFmtId="0" fontId="70" fillId="36" borderId="52" xfId="0" applyFont="1" applyFill="1" applyBorder="1" applyAlignment="1">
      <alignment horizontal="center" vertical="center" wrapText="1"/>
    </xf>
    <xf numFmtId="0" fontId="70" fillId="36" borderId="81" xfId="0" applyFont="1" applyFill="1" applyBorder="1" applyAlignment="1">
      <alignment horizontal="center" vertical="center" wrapText="1"/>
    </xf>
    <xf numFmtId="0" fontId="70" fillId="36" borderId="27" xfId="0" applyFont="1" applyFill="1" applyBorder="1" applyAlignment="1">
      <alignment horizontal="center" vertical="center" wrapText="1"/>
    </xf>
    <xf numFmtId="0" fontId="70" fillId="36" borderId="37" xfId="0" applyFont="1" applyFill="1" applyBorder="1" applyAlignment="1">
      <alignment horizontal="center" vertical="center" wrapText="1"/>
    </xf>
    <xf numFmtId="0" fontId="70" fillId="36" borderId="49" xfId="0" applyFont="1" applyFill="1" applyBorder="1" applyAlignment="1">
      <alignment horizontal="center" vertical="center" wrapText="1"/>
    </xf>
    <xf numFmtId="0" fontId="27" fillId="0" borderId="0" xfId="0" applyFont="1" applyAlignment="1">
      <alignment horizontal="center" vertical="center" wrapText="1"/>
    </xf>
    <xf numFmtId="0" fontId="64" fillId="0" borderId="0" xfId="0" applyFont="1" applyAlignment="1">
      <alignment horizontal="center" vertical="center" wrapText="1"/>
    </xf>
    <xf numFmtId="0" fontId="64" fillId="0" borderId="0" xfId="0" applyFont="1" applyAlignment="1">
      <alignment horizontal="center"/>
    </xf>
    <xf numFmtId="0" fontId="66" fillId="0" borderId="0" xfId="0" applyFont="1" applyBorder="1" applyAlignment="1">
      <alignment horizontal="center"/>
    </xf>
    <xf numFmtId="0" fontId="67" fillId="36" borderId="3" xfId="0" applyFont="1" applyFill="1" applyBorder="1" applyAlignment="1">
      <alignment horizontal="center" vertical="center" wrapText="1"/>
    </xf>
    <xf numFmtId="0" fontId="67" fillId="36" borderId="6" xfId="0" applyFont="1" applyFill="1" applyBorder="1" applyAlignment="1">
      <alignment horizontal="center" vertical="center" wrapText="1"/>
    </xf>
    <xf numFmtId="0" fontId="67" fillId="36" borderId="18" xfId="0" applyFont="1" applyFill="1" applyBorder="1" applyAlignment="1">
      <alignment horizontal="center" vertical="center" wrapText="1"/>
    </xf>
    <xf numFmtId="0" fontId="67" fillId="36" borderId="9" xfId="0" applyFont="1" applyFill="1" applyBorder="1" applyAlignment="1">
      <alignment horizontal="center" vertical="center" wrapText="1"/>
    </xf>
    <xf numFmtId="0" fontId="67" fillId="36" borderId="5" xfId="0" applyFont="1" applyFill="1" applyBorder="1" applyAlignment="1">
      <alignment horizontal="center" vertical="center" wrapText="1"/>
    </xf>
    <xf numFmtId="0" fontId="67" fillId="36" borderId="8"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1" xfId="0" applyFont="1" applyFill="1" applyBorder="1" applyAlignment="1">
      <alignment horizontal="center" vertical="center" wrapText="1"/>
    </xf>
    <xf numFmtId="0" fontId="70" fillId="36" borderId="31" xfId="0" applyFont="1" applyFill="1" applyBorder="1" applyAlignment="1">
      <alignment horizontal="center" vertical="center" wrapText="1"/>
    </xf>
    <xf numFmtId="0" fontId="70" fillId="36" borderId="72"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63" fillId="3" borderId="89" xfId="0" applyFont="1" applyFill="1" applyBorder="1" applyAlignment="1">
      <alignment horizontal="center" vertical="center" wrapText="1"/>
    </xf>
    <xf numFmtId="0" fontId="63" fillId="3" borderId="90" xfId="0" applyFont="1" applyFill="1" applyBorder="1" applyAlignment="1">
      <alignment horizontal="center" vertical="center" wrapText="1"/>
    </xf>
    <xf numFmtId="0" fontId="63" fillId="3" borderId="91" xfId="0" applyFont="1" applyFill="1" applyBorder="1" applyAlignment="1">
      <alignment horizontal="center" vertical="center" wrapText="1"/>
    </xf>
    <xf numFmtId="0" fontId="79" fillId="3" borderId="89" xfId="0" applyFont="1" applyFill="1" applyBorder="1" applyAlignment="1">
      <alignment horizontal="center" vertical="center" wrapText="1"/>
    </xf>
    <xf numFmtId="0" fontId="79" fillId="3" borderId="90" xfId="0" applyFont="1" applyFill="1" applyBorder="1" applyAlignment="1">
      <alignment horizontal="center" vertical="center" wrapText="1"/>
    </xf>
    <xf numFmtId="0" fontId="79" fillId="3" borderId="91" xfId="0" applyFont="1" applyFill="1" applyBorder="1" applyAlignment="1">
      <alignment horizontal="center" vertical="center" wrapText="1"/>
    </xf>
    <xf numFmtId="0" fontId="83" fillId="0" borderId="0" xfId="0" applyFont="1" applyAlignment="1">
      <alignment horizontal="left" vertical="center" wrapText="1"/>
    </xf>
    <xf numFmtId="0" fontId="67" fillId="36" borderId="15" xfId="0" applyFont="1" applyFill="1" applyBorder="1" applyAlignment="1">
      <alignment horizontal="center" vertical="center" wrapText="1"/>
    </xf>
    <xf numFmtId="0" fontId="67" fillId="36" borderId="16" xfId="0" applyFont="1" applyFill="1" applyBorder="1" applyAlignment="1">
      <alignment horizontal="center" vertical="center" wrapText="1"/>
    </xf>
    <xf numFmtId="0" fontId="68" fillId="36" borderId="83" xfId="0" applyFont="1" applyFill="1" applyBorder="1" applyAlignment="1">
      <alignment horizontal="center" vertical="center" wrapText="1"/>
    </xf>
    <xf numFmtId="0" fontId="68" fillId="36" borderId="72" xfId="0" applyFont="1" applyFill="1" applyBorder="1" applyAlignment="1">
      <alignment horizontal="center" vertical="center" wrapText="1"/>
    </xf>
    <xf numFmtId="0" fontId="69" fillId="36" borderId="85" xfId="0" applyFont="1" applyFill="1" applyBorder="1" applyAlignment="1">
      <alignment horizontal="center" vertical="center" wrapText="1"/>
    </xf>
    <xf numFmtId="0" fontId="69" fillId="36" borderId="74" xfId="0" applyFont="1" applyFill="1" applyBorder="1" applyAlignment="1">
      <alignment horizontal="center" vertical="center" wrapText="1"/>
    </xf>
    <xf numFmtId="0" fontId="69" fillId="36" borderId="45" xfId="0" applyFont="1" applyFill="1" applyBorder="1" applyAlignment="1">
      <alignment horizontal="center" vertical="center" wrapText="1"/>
    </xf>
    <xf numFmtId="0" fontId="67" fillId="36" borderId="51" xfId="0" applyFont="1" applyFill="1" applyBorder="1" applyAlignment="1">
      <alignment horizontal="center" vertical="center" wrapText="1"/>
    </xf>
    <xf numFmtId="0" fontId="67" fillId="36" borderId="50" xfId="0" applyFont="1" applyFill="1" applyBorder="1" applyAlignment="1">
      <alignment horizontal="center" vertical="center" wrapText="1"/>
    </xf>
    <xf numFmtId="0" fontId="67" fillId="36" borderId="52" xfId="0" applyFont="1" applyFill="1" applyBorder="1" applyAlignment="1">
      <alignment horizontal="center" vertical="center" wrapText="1"/>
    </xf>
    <xf numFmtId="0" fontId="70" fillId="36" borderId="19" xfId="0" applyFont="1" applyFill="1" applyBorder="1" applyAlignment="1">
      <alignment horizontal="center" vertical="center" wrapText="1"/>
    </xf>
    <xf numFmtId="0" fontId="70" fillId="36" borderId="23" xfId="0" applyFont="1" applyFill="1" applyBorder="1" applyAlignment="1">
      <alignment horizontal="center" vertical="center" wrapText="1"/>
    </xf>
    <xf numFmtId="0" fontId="70" fillId="36" borderId="36" xfId="0" applyFont="1" applyFill="1" applyBorder="1" applyAlignment="1">
      <alignment horizontal="center" vertical="center" wrapText="1"/>
    </xf>
    <xf numFmtId="0" fontId="77" fillId="0" borderId="0" xfId="0" applyFont="1" applyAlignment="1">
      <alignment horizontal="center"/>
    </xf>
    <xf numFmtId="0" fontId="73" fillId="0" borderId="0" xfId="0" applyFont="1" applyAlignment="1">
      <alignment horizontal="center" vertical="center" wrapText="1"/>
    </xf>
    <xf numFmtId="0" fontId="75" fillId="0" borderId="0" xfId="0" applyFont="1" applyAlignment="1">
      <alignment horizontal="center"/>
    </xf>
    <xf numFmtId="0" fontId="49" fillId="36" borderId="47" xfId="0" applyFont="1" applyFill="1" applyBorder="1" applyAlignment="1">
      <alignment horizontal="center" vertical="center" wrapText="1"/>
    </xf>
    <xf numFmtId="0" fontId="49" fillId="36" borderId="21" xfId="0" applyFont="1" applyFill="1" applyBorder="1" applyAlignment="1">
      <alignment horizontal="center" vertical="center" wrapText="1"/>
    </xf>
    <xf numFmtId="0" fontId="49" fillId="36" borderId="45" xfId="0" applyFont="1" applyFill="1" applyBorder="1" applyAlignment="1">
      <alignment horizontal="center" vertical="center" wrapText="1"/>
    </xf>
    <xf numFmtId="0" fontId="49" fillId="36" borderId="23" xfId="0" applyFont="1" applyFill="1" applyBorder="1" applyAlignment="1">
      <alignment horizontal="center" vertical="center" wrapText="1"/>
    </xf>
    <xf numFmtId="0" fontId="50" fillId="36" borderId="50" xfId="0" applyFont="1" applyFill="1" applyBorder="1" applyAlignment="1">
      <alignment horizontal="center" vertical="center" wrapText="1"/>
    </xf>
    <xf numFmtId="0" fontId="50" fillId="36" borderId="51" xfId="0" applyFont="1" applyFill="1" applyBorder="1" applyAlignment="1">
      <alignment horizontal="center" vertical="center" wrapText="1"/>
    </xf>
    <xf numFmtId="0" fontId="50" fillId="36" borderId="52" xfId="0" applyFont="1" applyFill="1" applyBorder="1" applyAlignment="1">
      <alignment horizontal="center" vertical="center" wrapText="1"/>
    </xf>
    <xf numFmtId="0" fontId="49" fillId="36" borderId="50" xfId="0" applyFont="1" applyFill="1" applyBorder="1" applyAlignment="1">
      <alignment horizontal="center" vertical="center" wrapText="1"/>
    </xf>
    <xf numFmtId="0" fontId="49" fillId="36" borderId="51" xfId="0" applyFont="1" applyFill="1" applyBorder="1" applyAlignment="1">
      <alignment horizontal="center" vertical="center" wrapText="1"/>
    </xf>
    <xf numFmtId="0" fontId="49" fillId="36" borderId="52" xfId="0" applyFont="1" applyFill="1" applyBorder="1" applyAlignment="1">
      <alignment horizontal="center" vertical="center" wrapText="1"/>
    </xf>
    <xf numFmtId="0" fontId="58" fillId="0" borderId="0" xfId="0" applyFont="1" applyFill="1" applyAlignment="1">
      <alignment horizontal="center" vertical="center" wrapText="1"/>
    </xf>
    <xf numFmtId="0" fontId="49" fillId="36" borderId="3" xfId="0" applyFont="1" applyFill="1" applyBorder="1" applyAlignment="1">
      <alignment horizontal="center" vertical="center" wrapText="1"/>
    </xf>
    <xf numFmtId="0" fontId="49" fillId="36" borderId="6" xfId="0" applyFont="1" applyFill="1" applyBorder="1" applyAlignment="1">
      <alignment horizontal="center" vertical="center" wrapText="1"/>
    </xf>
    <xf numFmtId="0" fontId="49" fillId="36" borderId="5" xfId="0" applyFont="1" applyFill="1" applyBorder="1" applyAlignment="1">
      <alignment horizontal="center" vertical="center" wrapText="1"/>
    </xf>
    <xf numFmtId="0" fontId="49" fillId="36" borderId="8" xfId="0" applyFont="1" applyFill="1" applyBorder="1" applyAlignment="1">
      <alignment horizontal="center" vertical="center" wrapText="1"/>
    </xf>
    <xf numFmtId="0" fontId="54" fillId="0" borderId="2" xfId="0" applyFont="1" applyFill="1" applyBorder="1" applyAlignment="1">
      <alignment horizontal="center"/>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4" fillId="0" borderId="62" xfId="0" applyFont="1" applyBorder="1" applyAlignment="1">
      <alignment horizontal="center" wrapText="1"/>
    </xf>
    <xf numFmtId="0" fontId="4" fillId="0" borderId="63" xfId="0" applyFont="1" applyBorder="1" applyAlignment="1">
      <alignment horizontal="center" wrapText="1"/>
    </xf>
    <xf numFmtId="0" fontId="4" fillId="0" borderId="64" xfId="0" applyFont="1" applyBorder="1" applyAlignment="1">
      <alignment horizontal="center" wrapText="1"/>
    </xf>
    <xf numFmtId="0" fontId="6"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0" borderId="0" xfId="0" applyFont="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2" fillId="0" borderId="18" xfId="0" applyFont="1" applyBorder="1" applyAlignment="1">
      <alignment horizontal="center" vertical="center" wrapText="1"/>
    </xf>
    <xf numFmtId="0" fontId="28" fillId="0" borderId="37"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8" xfId="0" applyFont="1" applyBorder="1" applyAlignment="1">
      <alignment horizontal="center" vertical="center" wrapText="1"/>
    </xf>
    <xf numFmtId="0" fontId="26"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2" xfId="42"/>
    <cellStyle name="Плохой" xfId="8" builtinId="27" customBuiltin="1"/>
    <cellStyle name="Пояснение" xfId="16" builtinId="53" customBuiltin="1"/>
    <cellStyle name="Примечание 2" xfId="43"/>
    <cellStyle name="Процентный" xfId="44" builtinId="5"/>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view="pageBreakPreview" zoomScale="64" zoomScaleNormal="70" zoomScaleSheetLayoutView="64" workbookViewId="0">
      <pane xSplit="2" ySplit="7" topLeftCell="C8" activePane="bottomRight" state="frozen"/>
      <selection pane="topRight" activeCell="C1" sqref="C1"/>
      <selection pane="bottomLeft" activeCell="A8" sqref="A8"/>
      <selection pane="bottomRight" activeCell="L14" sqref="L14"/>
    </sheetView>
  </sheetViews>
  <sheetFormatPr defaultRowHeight="18.75" outlineLevelCol="1" x14ac:dyDescent="0.25"/>
  <cols>
    <col min="1" max="1" width="6.140625" style="34" customWidth="1"/>
    <col min="2" max="2" width="31.28515625" style="34" customWidth="1"/>
    <col min="3" max="4" width="18.42578125" style="34" customWidth="1"/>
    <col min="5" max="5" width="19.7109375" style="34" customWidth="1" outlineLevel="1"/>
    <col min="6" max="7" width="18.42578125" style="34" customWidth="1" outlineLevel="1"/>
    <col min="8" max="11" width="18.42578125" style="34" customWidth="1"/>
    <col min="12" max="14" width="18.42578125" style="34" customWidth="1" outlineLevel="1"/>
    <col min="15" max="15" width="18.42578125" style="34" customWidth="1"/>
    <col min="16" max="16" width="16.5703125" style="34" customWidth="1"/>
    <col min="17" max="17" width="11.140625" style="34" bestFit="1" customWidth="1"/>
    <col min="18" max="18" width="12" style="27" bestFit="1" customWidth="1"/>
    <col min="19" max="19" width="15.140625" style="34" bestFit="1" customWidth="1"/>
    <col min="20" max="20" width="9.140625" style="34" customWidth="1"/>
    <col min="21" max="16384" width="9.140625" style="34"/>
  </cols>
  <sheetData>
    <row r="1" spans="1:23" ht="35.25" customHeight="1" x14ac:dyDescent="0.25">
      <c r="A1" s="616" t="s">
        <v>118</v>
      </c>
      <c r="B1" s="616"/>
      <c r="C1" s="616"/>
      <c r="D1" s="616"/>
      <c r="E1" s="616"/>
      <c r="F1" s="616"/>
      <c r="G1" s="616"/>
      <c r="H1" s="616"/>
      <c r="I1" s="616"/>
      <c r="J1" s="616"/>
      <c r="K1" s="616"/>
      <c r="L1" s="616"/>
      <c r="M1" s="616"/>
      <c r="N1" s="616"/>
      <c r="O1" s="616"/>
      <c r="P1" s="616"/>
    </row>
    <row r="2" spans="1:23" ht="23.25" customHeight="1" x14ac:dyDescent="0.25">
      <c r="A2" s="23"/>
      <c r="B2" s="617" t="s">
        <v>19</v>
      </c>
      <c r="C2" s="617"/>
      <c r="D2" s="617"/>
      <c r="E2" s="617"/>
      <c r="F2" s="617"/>
      <c r="G2" s="617"/>
      <c r="H2" s="617"/>
      <c r="I2" s="617"/>
      <c r="J2" s="617"/>
      <c r="K2" s="617"/>
      <c r="L2" s="617"/>
      <c r="M2" s="617"/>
      <c r="N2" s="617"/>
      <c r="O2" s="617"/>
      <c r="P2" s="617"/>
    </row>
    <row r="3" spans="1:23" ht="20.25" thickBot="1" x14ac:dyDescent="0.3">
      <c r="A3" s="618" t="str">
        <f>+'2023 йил'!A3:B3</f>
        <v>29.12.2023 йил ҳолатига</v>
      </c>
      <c r="B3" s="618"/>
      <c r="C3" s="25"/>
      <c r="I3" s="26"/>
      <c r="O3" s="618" t="s">
        <v>59</v>
      </c>
      <c r="P3" s="618"/>
    </row>
    <row r="4" spans="1:23" ht="31.5" customHeight="1" x14ac:dyDescent="0.25">
      <c r="A4" s="619" t="s">
        <v>0</v>
      </c>
      <c r="B4" s="622" t="s">
        <v>4</v>
      </c>
      <c r="C4" s="619" t="s">
        <v>2</v>
      </c>
      <c r="D4" s="623"/>
      <c r="E4" s="623"/>
      <c r="F4" s="623"/>
      <c r="G4" s="623"/>
      <c r="H4" s="623"/>
      <c r="I4" s="622"/>
      <c r="J4" s="619" t="s">
        <v>1</v>
      </c>
      <c r="K4" s="623"/>
      <c r="L4" s="623"/>
      <c r="M4" s="623"/>
      <c r="N4" s="623"/>
      <c r="O4" s="623"/>
      <c r="P4" s="622"/>
    </row>
    <row r="5" spans="1:23" ht="25.5" customHeight="1" x14ac:dyDescent="0.25">
      <c r="A5" s="620"/>
      <c r="B5" s="612"/>
      <c r="C5" s="614" t="s">
        <v>130</v>
      </c>
      <c r="D5" s="610" t="s">
        <v>80</v>
      </c>
      <c r="E5" s="608" t="s">
        <v>5</v>
      </c>
      <c r="F5" s="609"/>
      <c r="G5" s="609"/>
      <c r="H5" s="610" t="s">
        <v>81</v>
      </c>
      <c r="I5" s="612" t="str">
        <f>+'2023 йил'!I5:I6</f>
        <v>29.12.2023 йил ҳолатига қолдиқ</v>
      </c>
      <c r="J5" s="614" t="s">
        <v>71</v>
      </c>
      <c r="K5" s="610" t="s">
        <v>80</v>
      </c>
      <c r="L5" s="608" t="s">
        <v>5</v>
      </c>
      <c r="M5" s="609"/>
      <c r="N5" s="609"/>
      <c r="O5" s="610" t="s">
        <v>81</v>
      </c>
      <c r="P5" s="612" t="str">
        <f>+'2023 йил'!AH5:AH6</f>
        <v>29.12.2023 йил ҳолатига қолдиқ</v>
      </c>
    </row>
    <row r="6" spans="1:23" ht="126.75" customHeight="1" thickBot="1" x14ac:dyDescent="0.3">
      <c r="A6" s="621"/>
      <c r="B6" s="613"/>
      <c r="C6" s="615"/>
      <c r="D6" s="611"/>
      <c r="E6" s="174" t="s">
        <v>79</v>
      </c>
      <c r="F6" s="174" t="s">
        <v>78</v>
      </c>
      <c r="G6" s="174" t="s">
        <v>76</v>
      </c>
      <c r="H6" s="611"/>
      <c r="I6" s="613"/>
      <c r="J6" s="615"/>
      <c r="K6" s="611"/>
      <c r="L6" s="174" t="s">
        <v>79</v>
      </c>
      <c r="M6" s="174" t="s">
        <v>78</v>
      </c>
      <c r="N6" s="174" t="s">
        <v>76</v>
      </c>
      <c r="O6" s="611"/>
      <c r="P6" s="613"/>
      <c r="S6" s="27"/>
    </row>
    <row r="7" spans="1:23" ht="39.75" customHeight="1" thickBot="1" x14ac:dyDescent="0.3">
      <c r="A7" s="606" t="s">
        <v>3</v>
      </c>
      <c r="B7" s="607"/>
      <c r="C7" s="1">
        <f t="shared" ref="C7:H7" si="0">SUM(C8:C21)</f>
        <v>0</v>
      </c>
      <c r="D7" s="2">
        <f t="shared" si="0"/>
        <v>74347.994296410005</v>
      </c>
      <c r="E7" s="2">
        <f t="shared" si="0"/>
        <v>45069.900277000001</v>
      </c>
      <c r="F7" s="2">
        <f t="shared" si="0"/>
        <v>28998.923447370002</v>
      </c>
      <c r="G7" s="2">
        <f t="shared" si="0"/>
        <v>279.17057203999997</v>
      </c>
      <c r="H7" s="2">
        <f t="shared" si="0"/>
        <v>73300.164914039997</v>
      </c>
      <c r="I7" s="3">
        <f t="shared" ref="I7:P7" si="1">SUM(I8:I21)</f>
        <v>1047.8293823700001</v>
      </c>
      <c r="J7" s="1">
        <f t="shared" si="1"/>
        <v>0</v>
      </c>
      <c r="K7" s="2">
        <f t="shared" si="1"/>
        <v>68730.1146133</v>
      </c>
      <c r="L7" s="2">
        <f t="shared" si="1"/>
        <v>39155.422716000001</v>
      </c>
      <c r="M7" s="2">
        <f t="shared" si="1"/>
        <v>29182.378913479995</v>
      </c>
      <c r="N7" s="2">
        <f t="shared" si="1"/>
        <v>392.31298382000006</v>
      </c>
      <c r="O7" s="2">
        <f t="shared" si="1"/>
        <v>65192.49189170001</v>
      </c>
      <c r="P7" s="3">
        <f t="shared" si="1"/>
        <v>3537.6227215999979</v>
      </c>
      <c r="Q7" s="26"/>
      <c r="R7" s="260"/>
      <c r="S7" s="261"/>
      <c r="W7" s="26"/>
    </row>
    <row r="8" spans="1:23" s="32" customFormat="1" ht="39.75" customHeight="1" x14ac:dyDescent="0.25">
      <c r="A8" s="175">
        <v>1</v>
      </c>
      <c r="B8" s="55" t="s">
        <v>180</v>
      </c>
      <c r="C8" s="4"/>
      <c r="D8" s="58">
        <f>SUM(E8:G8)</f>
        <v>1692.42</v>
      </c>
      <c r="E8" s="5">
        <f>+Даромадлари!D8</f>
        <v>1692.42</v>
      </c>
      <c r="F8" s="5">
        <f>+Даромадлари!E8</f>
        <v>0</v>
      </c>
      <c r="G8" s="5">
        <f>+Даромадлари!F8</f>
        <v>0</v>
      </c>
      <c r="H8" s="5">
        <f>+Харажатлар!C8</f>
        <v>1672.77409399</v>
      </c>
      <c r="I8" s="6">
        <f t="shared" ref="I8:I21" si="2">+C8+D8-H8</f>
        <v>19.64590601000009</v>
      </c>
      <c r="J8" s="4"/>
      <c r="K8" s="58">
        <f>SUM(L8:N8)</f>
        <v>1674.8</v>
      </c>
      <c r="L8" s="5">
        <f>+Даромадлари!H8</f>
        <v>1674.8</v>
      </c>
      <c r="M8" s="5">
        <f>+Даромадлари!I8</f>
        <v>0</v>
      </c>
      <c r="N8" s="5">
        <f>+Даромадлари!J8</f>
        <v>0</v>
      </c>
      <c r="O8" s="5">
        <f>+Харажатлар!H8</f>
        <v>0</v>
      </c>
      <c r="P8" s="6">
        <f t="shared" ref="P8:P21" si="3">+J8+K8-O8</f>
        <v>1674.8</v>
      </c>
      <c r="Q8" s="26"/>
      <c r="R8" s="260"/>
      <c r="S8" s="261"/>
      <c r="W8" s="26"/>
    </row>
    <row r="9" spans="1:23" s="32" customFormat="1" ht="39.75" customHeight="1" x14ac:dyDescent="0.25">
      <c r="A9" s="175">
        <v>2</v>
      </c>
      <c r="B9" s="55" t="s">
        <v>6</v>
      </c>
      <c r="C9" s="4"/>
      <c r="D9" s="58">
        <f t="shared" ref="D9:D21" si="4">SUM(E9:G9)</f>
        <v>9637.9381747100015</v>
      </c>
      <c r="E9" s="5">
        <f>+Даромадлари!D9</f>
        <v>3162.8</v>
      </c>
      <c r="F9" s="5">
        <f>+Даромадлари!E9</f>
        <v>6449.4907516399999</v>
      </c>
      <c r="G9" s="5">
        <f>+Даромадлари!F9</f>
        <v>25.647423069999999</v>
      </c>
      <c r="H9" s="5">
        <f>+Харажатлар!C9</f>
        <v>9466.0916885400002</v>
      </c>
      <c r="I9" s="6">
        <f t="shared" si="2"/>
        <v>171.8464861700013</v>
      </c>
      <c r="J9" s="4"/>
      <c r="K9" s="58">
        <f t="shared" ref="K9:K21" si="5">SUM(L9:N9)</f>
        <v>9369.4130194499994</v>
      </c>
      <c r="L9" s="5">
        <f>+Даромадлари!H9</f>
        <v>2866.47858</v>
      </c>
      <c r="M9" s="5">
        <f>+Даромадлари!I9</f>
        <v>6488.3293008500004</v>
      </c>
      <c r="N9" s="5">
        <f>+Даромадлари!J9</f>
        <v>14.6051386</v>
      </c>
      <c r="O9" s="5">
        <f>+Харажатлар!H9</f>
        <v>9511.4521062000003</v>
      </c>
      <c r="P9" s="6">
        <f t="shared" si="3"/>
        <v>-142.03908675000093</v>
      </c>
      <c r="Q9" s="26"/>
      <c r="R9" s="260"/>
      <c r="S9" s="261"/>
      <c r="W9" s="26"/>
    </row>
    <row r="10" spans="1:23" s="32" customFormat="1" ht="39.75" customHeight="1" x14ac:dyDescent="0.25">
      <c r="A10" s="175">
        <v>3</v>
      </c>
      <c r="B10" s="55" t="s">
        <v>7</v>
      </c>
      <c r="C10" s="4"/>
      <c r="D10" s="58">
        <f t="shared" si="4"/>
        <v>5502.7810700300006</v>
      </c>
      <c r="E10" s="5">
        <f>+Даромадлари!D10</f>
        <v>3835.9930000000004</v>
      </c>
      <c r="F10" s="5">
        <f>+Даромадлари!E10</f>
        <v>1662.3399786600003</v>
      </c>
      <c r="G10" s="5">
        <f>+Даромадлари!F10</f>
        <v>4.4480913700000002</v>
      </c>
      <c r="H10" s="5">
        <f>+Харажатлар!C10</f>
        <v>5481.5068730200001</v>
      </c>
      <c r="I10" s="6">
        <f t="shared" si="2"/>
        <v>21.274197010000535</v>
      </c>
      <c r="J10" s="4"/>
      <c r="K10" s="58">
        <f t="shared" si="5"/>
        <v>4868.005804639999</v>
      </c>
      <c r="L10" s="5">
        <f>+Даромадлари!H10</f>
        <v>3195.3379999999997</v>
      </c>
      <c r="M10" s="5">
        <f>+Даромадлари!I10</f>
        <v>1672.6540746399999</v>
      </c>
      <c r="N10" s="5">
        <f>+Даромадлари!J10</f>
        <v>1.3729999999999999E-2</v>
      </c>
      <c r="O10" s="5">
        <f>+Харажатлар!H10</f>
        <v>4353.8854499999998</v>
      </c>
      <c r="P10" s="6">
        <f t="shared" si="3"/>
        <v>514.12035463999928</v>
      </c>
      <c r="Q10" s="26"/>
      <c r="R10" s="260"/>
      <c r="S10" s="261"/>
      <c r="W10" s="26"/>
    </row>
    <row r="11" spans="1:23" s="32" customFormat="1" ht="39.75" customHeight="1" x14ac:dyDescent="0.25">
      <c r="A11" s="50">
        <v>4</v>
      </c>
      <c r="B11" s="55" t="s">
        <v>8</v>
      </c>
      <c r="C11" s="4"/>
      <c r="D11" s="58">
        <f t="shared" si="4"/>
        <v>5808.6755379299993</v>
      </c>
      <c r="E11" s="5">
        <f>+Даромадлари!D11</f>
        <v>3916.1849999999995</v>
      </c>
      <c r="F11" s="5">
        <f>+Даромадлари!E11</f>
        <v>1790.71633471</v>
      </c>
      <c r="G11" s="5">
        <f>+Даромадлари!F11</f>
        <v>101.77420322</v>
      </c>
      <c r="H11" s="5">
        <f>+Харажатлар!C11</f>
        <v>5601.8957740400001</v>
      </c>
      <c r="I11" s="6">
        <f t="shared" si="2"/>
        <v>206.77976388999923</v>
      </c>
      <c r="J11" s="4"/>
      <c r="K11" s="58">
        <f t="shared" si="5"/>
        <v>5315.5527823499997</v>
      </c>
      <c r="L11" s="5">
        <f>+Даромадлари!H11</f>
        <v>3414.049</v>
      </c>
      <c r="M11" s="5">
        <f>+Даромадлари!I11</f>
        <v>1801.5037823500002</v>
      </c>
      <c r="N11" s="5">
        <f>+Даромадлари!J11</f>
        <v>100</v>
      </c>
      <c r="O11" s="5">
        <f>+Харажатлар!H11</f>
        <v>4888.5704230399997</v>
      </c>
      <c r="P11" s="6">
        <f t="shared" si="3"/>
        <v>426.98235930999999</v>
      </c>
      <c r="Q11" s="26"/>
      <c r="R11" s="260"/>
      <c r="S11" s="261"/>
      <c r="W11" s="26"/>
    </row>
    <row r="12" spans="1:23" s="32" customFormat="1" ht="39.75" customHeight="1" x14ac:dyDescent="0.25">
      <c r="A12" s="175">
        <v>5</v>
      </c>
      <c r="B12" s="55" t="s">
        <v>9</v>
      </c>
      <c r="C12" s="4"/>
      <c r="D12" s="58">
        <f t="shared" si="4"/>
        <v>5031.2500600099993</v>
      </c>
      <c r="E12" s="5">
        <f>+Даромадлари!D12</f>
        <v>3037.2139999999999</v>
      </c>
      <c r="F12" s="5">
        <f>+Даромадлари!E12</f>
        <v>1991.93006001</v>
      </c>
      <c r="G12" s="5">
        <f>+Даромадлари!F12</f>
        <v>2.1059999999999999</v>
      </c>
      <c r="H12" s="5">
        <f>+Харажатлар!C12</f>
        <v>4951.730098</v>
      </c>
      <c r="I12" s="6">
        <f t="shared" si="2"/>
        <v>79.51996200999929</v>
      </c>
      <c r="J12" s="4"/>
      <c r="K12" s="58">
        <f t="shared" si="5"/>
        <v>5396.39163878</v>
      </c>
      <c r="L12" s="5">
        <f>+Даромадлари!H12</f>
        <v>3392.4520000000002</v>
      </c>
      <c r="M12" s="5">
        <f>+Даромадлари!I12</f>
        <v>2003.92963878</v>
      </c>
      <c r="N12" s="5">
        <f>+Даромадлари!J12</f>
        <v>0.01</v>
      </c>
      <c r="O12" s="5">
        <f>+Харажатлар!H12</f>
        <v>5230.4530335500003</v>
      </c>
      <c r="P12" s="6">
        <f t="shared" si="3"/>
        <v>165.93860522999967</v>
      </c>
      <c r="Q12" s="26"/>
      <c r="R12" s="260"/>
      <c r="S12" s="261"/>
      <c r="W12" s="26"/>
    </row>
    <row r="13" spans="1:23" s="32" customFormat="1" ht="39.75" customHeight="1" x14ac:dyDescent="0.25">
      <c r="A13" s="50">
        <v>6</v>
      </c>
      <c r="B13" s="55" t="s">
        <v>10</v>
      </c>
      <c r="C13" s="4"/>
      <c r="D13" s="58">
        <f t="shared" si="4"/>
        <v>6894.3932507199997</v>
      </c>
      <c r="E13" s="5">
        <f>+Даромадлари!D13</f>
        <v>3237.6769999999997</v>
      </c>
      <c r="F13" s="5">
        <f>+Даромадлари!E13</f>
        <v>3656.7162507200001</v>
      </c>
      <c r="G13" s="5">
        <f>+Даромадлари!F13</f>
        <v>0</v>
      </c>
      <c r="H13" s="5">
        <f>+Харажатлар!C13</f>
        <v>6887.5305964899999</v>
      </c>
      <c r="I13" s="6">
        <f t="shared" si="2"/>
        <v>6.8626542299998619</v>
      </c>
      <c r="J13" s="4"/>
      <c r="K13" s="58">
        <f t="shared" si="5"/>
        <v>5762.2093525700002</v>
      </c>
      <c r="L13" s="5">
        <f>+Даромадлари!H13</f>
        <v>1945.6</v>
      </c>
      <c r="M13" s="5">
        <f>+Даромадлари!I13</f>
        <v>3679.0093525700004</v>
      </c>
      <c r="N13" s="5">
        <f>+Даромадлари!J13</f>
        <v>137.6</v>
      </c>
      <c r="O13" s="5">
        <f>+Харажатлар!H13</f>
        <v>5768.2406726999998</v>
      </c>
      <c r="P13" s="6">
        <f t="shared" si="3"/>
        <v>-6.0313201299995853</v>
      </c>
      <c r="Q13" s="26"/>
      <c r="R13" s="260"/>
      <c r="S13" s="261"/>
      <c r="W13" s="26"/>
    </row>
    <row r="14" spans="1:23" s="32" customFormat="1" ht="39.75" customHeight="1" x14ac:dyDescent="0.25">
      <c r="A14" s="175">
        <v>7</v>
      </c>
      <c r="B14" s="55" t="s">
        <v>11</v>
      </c>
      <c r="C14" s="4"/>
      <c r="D14" s="58">
        <f t="shared" si="4"/>
        <v>5715.5052257099996</v>
      </c>
      <c r="E14" s="5">
        <f>+Даромадлари!D14</f>
        <v>3353.6</v>
      </c>
      <c r="F14" s="5">
        <f>+Даромадлари!E14</f>
        <v>2361.2535747100001</v>
      </c>
      <c r="G14" s="5">
        <f>+Даромадлари!F14</f>
        <v>0.65165099999999998</v>
      </c>
      <c r="H14" s="5">
        <f>+Харажатлар!C14</f>
        <v>5500.5066069999993</v>
      </c>
      <c r="I14" s="6">
        <f t="shared" si="2"/>
        <v>214.9986187100003</v>
      </c>
      <c r="J14" s="4"/>
      <c r="K14" s="58">
        <f t="shared" si="5"/>
        <v>6172.2246260100001</v>
      </c>
      <c r="L14" s="5">
        <f>+Даромадлари!H14</f>
        <v>3761</v>
      </c>
      <c r="M14" s="5">
        <f>+Даромадлари!I14</f>
        <v>2375.4779654099998</v>
      </c>
      <c r="N14" s="5">
        <f>+Даромадлари!J14</f>
        <v>35.746660600000006</v>
      </c>
      <c r="O14" s="5">
        <f>+Харажатлар!H14</f>
        <v>5869.3874720000003</v>
      </c>
      <c r="P14" s="6">
        <f t="shared" si="3"/>
        <v>302.83715400999972</v>
      </c>
      <c r="Q14" s="26"/>
      <c r="R14" s="260"/>
      <c r="S14" s="261"/>
      <c r="W14" s="26"/>
    </row>
    <row r="15" spans="1:23" s="32" customFormat="1" ht="39.75" customHeight="1" x14ac:dyDescent="0.25">
      <c r="A15" s="50">
        <v>8</v>
      </c>
      <c r="B15" s="55" t="s">
        <v>12</v>
      </c>
      <c r="C15" s="4"/>
      <c r="D15" s="58">
        <f t="shared" si="4"/>
        <v>6437.2031579499999</v>
      </c>
      <c r="E15" s="5">
        <f>+Даромадлари!D15</f>
        <v>4076.7689999999998</v>
      </c>
      <c r="F15" s="5">
        <f>+Даромадлари!E15</f>
        <v>2355.7923904200002</v>
      </c>
      <c r="G15" s="5">
        <f>+Даромадлари!F15</f>
        <v>4.6417675300000001</v>
      </c>
      <c r="H15" s="5">
        <f>+Харажатлар!C15</f>
        <v>6308.9381581300004</v>
      </c>
      <c r="I15" s="6">
        <f t="shared" si="2"/>
        <v>128.2649998199995</v>
      </c>
      <c r="J15" s="4"/>
      <c r="K15" s="58">
        <f t="shared" si="5"/>
        <v>6762.4566397899998</v>
      </c>
      <c r="L15" s="5">
        <f>+Даромадлари!H15</f>
        <v>4389.0395360000002</v>
      </c>
      <c r="M15" s="5">
        <f>+Даромадлари!I15</f>
        <v>2369.9837972799996</v>
      </c>
      <c r="N15" s="5">
        <f>+Даромадлари!J15</f>
        <v>3.43330651</v>
      </c>
      <c r="O15" s="5">
        <f>+Харажатлар!H15</f>
        <v>5916.249025000001</v>
      </c>
      <c r="P15" s="6">
        <f t="shared" si="3"/>
        <v>846.20761478999884</v>
      </c>
      <c r="Q15" s="26"/>
      <c r="R15" s="260"/>
      <c r="S15" s="261"/>
      <c r="W15" s="26"/>
    </row>
    <row r="16" spans="1:23" s="32" customFormat="1" ht="39.75" customHeight="1" x14ac:dyDescent="0.25">
      <c r="A16" s="175">
        <v>9</v>
      </c>
      <c r="B16" s="55" t="s">
        <v>13</v>
      </c>
      <c r="C16" s="4"/>
      <c r="D16" s="58">
        <f t="shared" si="4"/>
        <v>4754.9311121399996</v>
      </c>
      <c r="E16" s="5">
        <f>+Даромадлари!D16</f>
        <v>2895.7366769999999</v>
      </c>
      <c r="F16" s="5">
        <f>+Даромадлари!E16</f>
        <v>1854.61286105</v>
      </c>
      <c r="G16" s="5">
        <f>+Даромадлари!F16</f>
        <v>4.5815740900000002</v>
      </c>
      <c r="H16" s="5">
        <f>+Харажатлар!C16</f>
        <v>4731.1077500000001</v>
      </c>
      <c r="I16" s="6">
        <f t="shared" si="2"/>
        <v>23.823362139999517</v>
      </c>
      <c r="J16" s="4"/>
      <c r="K16" s="58">
        <f t="shared" si="5"/>
        <v>4905.0852273600003</v>
      </c>
      <c r="L16" s="5">
        <f>+Даромадлари!H16</f>
        <v>3039.2</v>
      </c>
      <c r="M16" s="5">
        <f>+Даромадлари!I16</f>
        <v>1865.7852273600001</v>
      </c>
      <c r="N16" s="5">
        <f>+Даромадлари!J16</f>
        <v>0.1</v>
      </c>
      <c r="O16" s="5">
        <f>+Харажатлар!H16</f>
        <v>4775.4525200000007</v>
      </c>
      <c r="P16" s="6">
        <f t="shared" si="3"/>
        <v>129.63270735999959</v>
      </c>
      <c r="Q16" s="26"/>
      <c r="R16" s="260"/>
      <c r="S16" s="261"/>
      <c r="W16" s="26"/>
    </row>
    <row r="17" spans="1:23" s="32" customFormat="1" ht="39.75" customHeight="1" x14ac:dyDescent="0.25">
      <c r="A17" s="50">
        <v>10</v>
      </c>
      <c r="B17" s="55" t="s">
        <v>14</v>
      </c>
      <c r="C17" s="4"/>
      <c r="D17" s="58">
        <f t="shared" si="4"/>
        <v>4147.81514281</v>
      </c>
      <c r="E17" s="5">
        <f>+Даромадлари!D17</f>
        <v>2593.9106000000002</v>
      </c>
      <c r="F17" s="5">
        <f>+Даромадлари!E17</f>
        <v>1546.60784281</v>
      </c>
      <c r="G17" s="5">
        <f>+Даромадлари!F17</f>
        <v>7.2966999999999995</v>
      </c>
      <c r="H17" s="5">
        <f>+Харажатлар!C17</f>
        <v>4130.55890808</v>
      </c>
      <c r="I17" s="6">
        <f t="shared" si="2"/>
        <v>17.25623472999996</v>
      </c>
      <c r="J17" s="4"/>
      <c r="K17" s="58">
        <f t="shared" si="5"/>
        <v>3629.14301256</v>
      </c>
      <c r="L17" s="5">
        <f>+Даромадлари!H17</f>
        <v>2072.4555999999998</v>
      </c>
      <c r="M17" s="5">
        <f>+Даромадлари!I17</f>
        <v>1555.92326445</v>
      </c>
      <c r="N17" s="5">
        <f>+Даромадлари!J17</f>
        <v>0.76414810999999994</v>
      </c>
      <c r="O17" s="5">
        <f>+Харажатлар!H17</f>
        <v>4103.1963262499994</v>
      </c>
      <c r="P17" s="6">
        <f t="shared" si="3"/>
        <v>-474.05331368999941</v>
      </c>
      <c r="Q17" s="26"/>
      <c r="R17" s="260"/>
      <c r="S17" s="261"/>
      <c r="T17" s="96"/>
      <c r="W17" s="26"/>
    </row>
    <row r="18" spans="1:23" s="32" customFormat="1" ht="39.75" customHeight="1" x14ac:dyDescent="0.25">
      <c r="A18" s="175">
        <v>11</v>
      </c>
      <c r="B18" s="55" t="s">
        <v>15</v>
      </c>
      <c r="C18" s="4"/>
      <c r="D18" s="58">
        <f t="shared" si="4"/>
        <v>4717.0314498600001</v>
      </c>
      <c r="E18" s="5">
        <f>+Даромадлари!D18</f>
        <v>3426.585</v>
      </c>
      <c r="F18" s="5">
        <f>+Даромадлари!E18</f>
        <v>1286.3906898599998</v>
      </c>
      <c r="G18" s="5">
        <f>+Даромадлари!F18</f>
        <v>4.0557600000000003</v>
      </c>
      <c r="H18" s="5">
        <f>+Харажатлар!C18</f>
        <v>4645.463616</v>
      </c>
      <c r="I18" s="6">
        <f t="shared" si="2"/>
        <v>71.567833860000064</v>
      </c>
      <c r="J18" s="4"/>
      <c r="K18" s="58">
        <f t="shared" si="5"/>
        <v>3501.7300314900003</v>
      </c>
      <c r="L18" s="5">
        <f>+Даромадлари!H18</f>
        <v>2207.5500000000002</v>
      </c>
      <c r="M18" s="5">
        <f>+Даромадлари!I18</f>
        <v>1294.1400314900002</v>
      </c>
      <c r="N18" s="5">
        <f>+Даромадлари!J18</f>
        <v>0.04</v>
      </c>
      <c r="O18" s="5">
        <f>+Харажатлар!H18</f>
        <v>2876.3416923600003</v>
      </c>
      <c r="P18" s="6">
        <f t="shared" si="3"/>
        <v>625.38833913000008</v>
      </c>
      <c r="Q18" s="26"/>
      <c r="R18" s="260"/>
      <c r="S18" s="261"/>
      <c r="W18" s="26"/>
    </row>
    <row r="19" spans="1:23" s="32" customFormat="1" ht="39.75" customHeight="1" x14ac:dyDescent="0.25">
      <c r="A19" s="50">
        <v>12</v>
      </c>
      <c r="B19" s="55" t="s">
        <v>16</v>
      </c>
      <c r="C19" s="4"/>
      <c r="D19" s="58">
        <f t="shared" si="4"/>
        <v>4886.4781457899999</v>
      </c>
      <c r="E19" s="5">
        <f>+Даромадлари!D19</f>
        <v>3201.05</v>
      </c>
      <c r="F19" s="5">
        <f>+Даромадлари!E19</f>
        <v>1685.4031457899998</v>
      </c>
      <c r="G19" s="5">
        <f>+Даромадлари!F19</f>
        <v>2.5000000000000001E-2</v>
      </c>
      <c r="H19" s="5">
        <f>+Харажатлар!C19</f>
        <v>4856.0389212</v>
      </c>
      <c r="I19" s="6">
        <f t="shared" si="2"/>
        <v>30.439224589999867</v>
      </c>
      <c r="J19" s="4"/>
      <c r="K19" s="58">
        <f t="shared" si="5"/>
        <v>4276.9501769199996</v>
      </c>
      <c r="L19" s="5">
        <f>+Даромадлари!H19</f>
        <v>2573.5699999999997</v>
      </c>
      <c r="M19" s="5">
        <f>+Даромадлари!I19</f>
        <v>1703.3801769199999</v>
      </c>
      <c r="N19" s="5">
        <f>+Даромадлари!J19</f>
        <v>0</v>
      </c>
      <c r="O19" s="5">
        <f>+Харажатлар!H19</f>
        <v>3833.1555685999992</v>
      </c>
      <c r="P19" s="6">
        <f t="shared" si="3"/>
        <v>443.79460832000041</v>
      </c>
      <c r="Q19" s="26"/>
      <c r="R19" s="260"/>
      <c r="S19" s="261"/>
      <c r="W19" s="26"/>
    </row>
    <row r="20" spans="1:23" s="32" customFormat="1" ht="39.75" customHeight="1" x14ac:dyDescent="0.25">
      <c r="A20" s="175">
        <v>13</v>
      </c>
      <c r="B20" s="55" t="s">
        <v>17</v>
      </c>
      <c r="C20" s="4"/>
      <c r="D20" s="58">
        <f t="shared" si="4"/>
        <v>4758.1633357600003</v>
      </c>
      <c r="E20" s="5">
        <f>+Даромадлари!D20</f>
        <v>3276.21</v>
      </c>
      <c r="F20" s="5">
        <f>+Даромадлари!E20</f>
        <v>1381.9533357600001</v>
      </c>
      <c r="G20" s="5">
        <f>+Даромадлари!F20</f>
        <v>100</v>
      </c>
      <c r="H20" s="5">
        <f>+Харажатлар!C20</f>
        <v>4721.1463653999999</v>
      </c>
      <c r="I20" s="6">
        <f t="shared" si="2"/>
        <v>37.016970360000414</v>
      </c>
      <c r="J20" s="4"/>
      <c r="K20" s="58">
        <f t="shared" si="5"/>
        <v>4498.6382614900003</v>
      </c>
      <c r="L20" s="5">
        <f>+Даромадлари!H20</f>
        <v>3007.9700000000003</v>
      </c>
      <c r="M20" s="5">
        <f>+Даромадлари!I20</f>
        <v>1390.6682614900001</v>
      </c>
      <c r="N20" s="5">
        <f>+Даромадлари!J20</f>
        <v>100</v>
      </c>
      <c r="O20" s="5">
        <f>+Харажатлар!H20</f>
        <v>4358.652693</v>
      </c>
      <c r="P20" s="6">
        <f t="shared" si="3"/>
        <v>139.98556849000033</v>
      </c>
      <c r="Q20" s="26"/>
      <c r="R20" s="260"/>
      <c r="S20" s="261"/>
      <c r="W20" s="26"/>
    </row>
    <row r="21" spans="1:23" s="32" customFormat="1" ht="39.75" customHeight="1" thickBot="1" x14ac:dyDescent="0.3">
      <c r="A21" s="251">
        <v>14</v>
      </c>
      <c r="B21" s="56" t="s">
        <v>18</v>
      </c>
      <c r="C21" s="7"/>
      <c r="D21" s="259">
        <f t="shared" si="4"/>
        <v>4363.4086329900001</v>
      </c>
      <c r="E21" s="8">
        <f>+Даромадлари!D21</f>
        <v>3363.75</v>
      </c>
      <c r="F21" s="8">
        <f>+Даромадлари!E21</f>
        <v>975.71623122999995</v>
      </c>
      <c r="G21" s="8">
        <f>+Даромадлари!F21</f>
        <v>23.942401760000003</v>
      </c>
      <c r="H21" s="8">
        <f>+Харажатлар!C21</f>
        <v>4344.87546415</v>
      </c>
      <c r="I21" s="9">
        <f t="shared" si="2"/>
        <v>18.533168840000144</v>
      </c>
      <c r="J21" s="7"/>
      <c r="K21" s="259">
        <f t="shared" si="5"/>
        <v>2597.5140398900003</v>
      </c>
      <c r="L21" s="8">
        <f>+Даромадлари!H21</f>
        <v>1615.92</v>
      </c>
      <c r="M21" s="8">
        <f>+Даромадлари!I21</f>
        <v>981.59403989000009</v>
      </c>
      <c r="N21" s="8">
        <f>+Даромадлари!J21</f>
        <v>0</v>
      </c>
      <c r="O21" s="8">
        <f>+Харажатлар!H21</f>
        <v>3707.454909</v>
      </c>
      <c r="P21" s="9">
        <f t="shared" si="3"/>
        <v>-1109.9408691099998</v>
      </c>
      <c r="Q21" s="26"/>
      <c r="R21" s="260"/>
      <c r="S21" s="261"/>
      <c r="W21" s="26"/>
    </row>
  </sheetData>
  <mergeCells count="19">
    <mergeCell ref="A1:P1"/>
    <mergeCell ref="B2:P2"/>
    <mergeCell ref="A3:B3"/>
    <mergeCell ref="O3:P3"/>
    <mergeCell ref="A4:A6"/>
    <mergeCell ref="B4:B6"/>
    <mergeCell ref="C4:I4"/>
    <mergeCell ref="J4:P4"/>
    <mergeCell ref="C5:C6"/>
    <mergeCell ref="D5:D6"/>
    <mergeCell ref="L5:N5"/>
    <mergeCell ref="O5:O6"/>
    <mergeCell ref="P5:P6"/>
    <mergeCell ref="K5:K6"/>
    <mergeCell ref="A7:B7"/>
    <mergeCell ref="E5:G5"/>
    <mergeCell ref="H5:H6"/>
    <mergeCell ref="I5:I6"/>
    <mergeCell ref="J5:J6"/>
  </mergeCells>
  <printOptions horizontalCentered="1" verticalCentered="1"/>
  <pageMargins left="0.19685039370078741" right="0.19685039370078741" top="0.19685039370078741" bottom="0.19685039370078741" header="0" footer="0.19685039370078741"/>
  <pageSetup paperSize="9"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view="pageBreakPreview" zoomScale="60" zoomScaleNormal="100" workbookViewId="0">
      <selection activeCell="A15" sqref="A15"/>
    </sheetView>
  </sheetViews>
  <sheetFormatPr defaultRowHeight="18" x14ac:dyDescent="0.25"/>
  <cols>
    <col min="1" max="1" width="4.42578125" style="176" bestFit="1" customWidth="1"/>
    <col min="2" max="2" width="37.42578125" style="176" bestFit="1" customWidth="1"/>
    <col min="3" max="3" width="10.7109375" style="176" bestFit="1" customWidth="1"/>
    <col min="4" max="4" width="16.42578125" style="176" bestFit="1" customWidth="1"/>
    <col min="5" max="5" width="10.85546875" style="176" bestFit="1" customWidth="1"/>
    <col min="6" max="6" width="10.7109375" style="176" bestFit="1" customWidth="1"/>
    <col min="7" max="7" width="16.42578125" style="176" bestFit="1" customWidth="1"/>
    <col min="8" max="8" width="10.85546875" style="176" bestFit="1" customWidth="1"/>
    <col min="9" max="9" width="10.7109375" style="176" bestFit="1" customWidth="1"/>
    <col min="10" max="10" width="16.42578125" style="176" customWidth="1"/>
    <col min="11" max="11" width="13.42578125" style="176" bestFit="1" customWidth="1"/>
    <col min="12" max="12" width="9.140625" style="176"/>
    <col min="13" max="13" width="20.140625" style="176" hidden="1" customWidth="1"/>
    <col min="14" max="14" width="12.28515625" style="176" bestFit="1" customWidth="1"/>
    <col min="15" max="15" width="26.140625" style="231" bestFit="1" customWidth="1"/>
    <col min="16" max="16" width="29.28515625" style="176" bestFit="1" customWidth="1"/>
    <col min="17" max="17" width="9.140625" style="176"/>
    <col min="18" max="18" width="50.42578125" style="176" bestFit="1" customWidth="1"/>
    <col min="19" max="19" width="10.7109375" style="176" bestFit="1" customWidth="1"/>
    <col min="20" max="20" width="22" style="176" bestFit="1" customWidth="1"/>
    <col min="21" max="16384" width="9.140625" style="176"/>
  </cols>
  <sheetData>
    <row r="1" spans="1:21" ht="69.75" customHeight="1" x14ac:dyDescent="0.25">
      <c r="A1" s="658" t="s">
        <v>171</v>
      </c>
      <c r="B1" s="658"/>
      <c r="C1" s="658"/>
      <c r="D1" s="658"/>
      <c r="E1" s="658"/>
      <c r="F1" s="658"/>
      <c r="G1" s="658"/>
      <c r="H1" s="658"/>
      <c r="I1" s="658"/>
      <c r="J1" s="658"/>
      <c r="K1" s="658"/>
    </row>
    <row r="2" spans="1:21" ht="23.25" x14ac:dyDescent="0.25">
      <c r="A2" s="658" t="s">
        <v>19</v>
      </c>
      <c r="B2" s="658"/>
      <c r="C2" s="658"/>
      <c r="D2" s="658"/>
      <c r="E2" s="658"/>
      <c r="F2" s="658"/>
      <c r="G2" s="658"/>
      <c r="H2" s="658"/>
      <c r="I2" s="658"/>
      <c r="J2" s="658"/>
      <c r="K2" s="658"/>
    </row>
    <row r="3" spans="1:21" ht="19.5" thickBot="1" x14ac:dyDescent="0.35">
      <c r="B3" s="189" t="s">
        <v>172</v>
      </c>
      <c r="E3" s="190"/>
      <c r="K3" s="222" t="s">
        <v>159</v>
      </c>
    </row>
    <row r="4" spans="1:21" x14ac:dyDescent="0.25">
      <c r="A4" s="746" t="s">
        <v>138</v>
      </c>
      <c r="B4" s="748" t="s">
        <v>139</v>
      </c>
      <c r="C4" s="742" t="s">
        <v>140</v>
      </c>
      <c r="D4" s="743"/>
      <c r="E4" s="744"/>
      <c r="F4" s="742" t="s">
        <v>141</v>
      </c>
      <c r="G4" s="743"/>
      <c r="H4" s="744"/>
      <c r="I4" s="742" t="s">
        <v>142</v>
      </c>
      <c r="J4" s="743"/>
      <c r="K4" s="744"/>
    </row>
    <row r="5" spans="1:21" ht="36.75" thickBot="1" x14ac:dyDescent="0.3">
      <c r="A5" s="747"/>
      <c r="B5" s="749"/>
      <c r="C5" s="178" t="s">
        <v>143</v>
      </c>
      <c r="D5" s="178" t="s">
        <v>144</v>
      </c>
      <c r="E5" s="179" t="s">
        <v>145</v>
      </c>
      <c r="F5" s="178" t="s">
        <v>143</v>
      </c>
      <c r="G5" s="178" t="s">
        <v>144</v>
      </c>
      <c r="H5" s="179" t="s">
        <v>145</v>
      </c>
      <c r="I5" s="178" t="s">
        <v>143</v>
      </c>
      <c r="J5" s="178" t="s">
        <v>144</v>
      </c>
      <c r="K5" s="179" t="s">
        <v>145</v>
      </c>
    </row>
    <row r="6" spans="1:21" ht="19.5" thickBot="1" x14ac:dyDescent="0.3">
      <c r="A6" s="191" t="s">
        <v>160</v>
      </c>
      <c r="B6" s="192" t="s">
        <v>161</v>
      </c>
      <c r="C6" s="194">
        <v>1</v>
      </c>
      <c r="D6" s="194">
        <v>2</v>
      </c>
      <c r="E6" s="192">
        <v>3</v>
      </c>
      <c r="F6" s="191">
        <v>4</v>
      </c>
      <c r="G6" s="194">
        <v>5</v>
      </c>
      <c r="H6" s="192">
        <v>6</v>
      </c>
      <c r="I6" s="191">
        <v>7</v>
      </c>
      <c r="J6" s="194">
        <v>8</v>
      </c>
      <c r="K6" s="192">
        <v>9</v>
      </c>
      <c r="M6" s="195"/>
    </row>
    <row r="7" spans="1:21" ht="18.75" customHeight="1" x14ac:dyDescent="0.25">
      <c r="A7" s="739" t="s">
        <v>173</v>
      </c>
      <c r="B7" s="741"/>
      <c r="C7" s="232">
        <f>+C80</f>
        <v>639.1</v>
      </c>
      <c r="D7" s="232">
        <f>+D80</f>
        <v>639.1</v>
      </c>
      <c r="E7" s="233">
        <f>+E80</f>
        <v>0</v>
      </c>
      <c r="F7" s="234"/>
      <c r="G7" s="232"/>
      <c r="H7" s="233"/>
      <c r="I7" s="235">
        <f>+C7+F7</f>
        <v>639.1</v>
      </c>
      <c r="J7" s="232">
        <f>+D7+G7</f>
        <v>639.1</v>
      </c>
      <c r="K7" s="233">
        <f>+J7-I7</f>
        <v>0</v>
      </c>
      <c r="M7" s="236"/>
    </row>
    <row r="8" spans="1:21" ht="20.25" x14ac:dyDescent="0.25">
      <c r="A8" s="184">
        <v>1</v>
      </c>
      <c r="B8" s="185" t="s">
        <v>162</v>
      </c>
      <c r="C8" s="199">
        <f t="shared" ref="C8:D20" si="0">+C26+C44+C62+C81</f>
        <v>1616.5428999999997</v>
      </c>
      <c r="D8" s="197">
        <f t="shared" si="0"/>
        <v>1250</v>
      </c>
      <c r="E8" s="198">
        <f>+D8-C8</f>
        <v>-366.54289999999969</v>
      </c>
      <c r="F8" s="199">
        <f t="shared" ref="F8:G20" si="1">+F26+F44+F62+F81</f>
        <v>1616.5428999999997</v>
      </c>
      <c r="G8" s="197">
        <f t="shared" si="1"/>
        <v>738</v>
      </c>
      <c r="H8" s="198">
        <f>+G8-F8</f>
        <v>-878.54289999999969</v>
      </c>
      <c r="I8" s="223">
        <f>+C8+F8</f>
        <v>3233.0857999999994</v>
      </c>
      <c r="J8" s="197">
        <f>+D8+G8</f>
        <v>1988</v>
      </c>
      <c r="K8" s="198">
        <f>+J8-I8</f>
        <v>-1245.0857999999994</v>
      </c>
      <c r="L8" s="200"/>
      <c r="M8" s="200"/>
      <c r="N8" s="200"/>
      <c r="P8" s="237"/>
      <c r="Q8" s="200"/>
      <c r="R8" s="203"/>
      <c r="S8" s="200"/>
      <c r="U8" s="200"/>
    </row>
    <row r="9" spans="1:21" ht="20.25" x14ac:dyDescent="0.25">
      <c r="A9" s="184">
        <f t="shared" ref="A9:A20" si="2">+A8+1</f>
        <v>2</v>
      </c>
      <c r="B9" s="185" t="s">
        <v>147</v>
      </c>
      <c r="C9" s="199">
        <f t="shared" si="0"/>
        <v>1290.067830499999</v>
      </c>
      <c r="D9" s="197">
        <f t="shared" si="0"/>
        <v>1289.961</v>
      </c>
      <c r="E9" s="198">
        <f t="shared" ref="E9:E20" si="3">+D9-C9</f>
        <v>-0.10683049999897776</v>
      </c>
      <c r="F9" s="199">
        <f t="shared" si="1"/>
        <v>1290.067830499999</v>
      </c>
      <c r="G9" s="197">
        <f t="shared" si="1"/>
        <v>1005.268</v>
      </c>
      <c r="H9" s="198">
        <f t="shared" ref="H9:H20" si="4">+G9-F9</f>
        <v>-284.79983049999896</v>
      </c>
      <c r="I9" s="223">
        <f t="shared" ref="I9:J20" si="5">+C9+F9</f>
        <v>2580.135660999998</v>
      </c>
      <c r="J9" s="197">
        <f t="shared" si="5"/>
        <v>2295.2290000000003</v>
      </c>
      <c r="K9" s="198">
        <f t="shared" ref="K9:K20" si="6">+J9-I9</f>
        <v>-284.90666099999771</v>
      </c>
      <c r="L9" s="200"/>
      <c r="M9" s="200"/>
      <c r="N9" s="200"/>
      <c r="P9" s="237"/>
      <c r="Q9" s="200"/>
      <c r="R9" s="203"/>
      <c r="S9" s="200"/>
      <c r="U9" s="200"/>
    </row>
    <row r="10" spans="1:21" ht="20.25" x14ac:dyDescent="0.25">
      <c r="A10" s="184">
        <f t="shared" si="2"/>
        <v>3</v>
      </c>
      <c r="B10" s="185" t="s">
        <v>148</v>
      </c>
      <c r="C10" s="199">
        <f t="shared" si="0"/>
        <v>1665.2640643905004</v>
      </c>
      <c r="D10" s="197">
        <f t="shared" si="0"/>
        <v>1667.115</v>
      </c>
      <c r="E10" s="198">
        <f t="shared" si="3"/>
        <v>1.8509356094996292</v>
      </c>
      <c r="F10" s="199">
        <f t="shared" si="1"/>
        <v>1665.2640643905004</v>
      </c>
      <c r="G10" s="197">
        <f t="shared" si="1"/>
        <v>1505.9649999999999</v>
      </c>
      <c r="H10" s="198">
        <f t="shared" si="4"/>
        <v>-159.29906439050046</v>
      </c>
      <c r="I10" s="223">
        <f t="shared" si="5"/>
        <v>3330.5281287810008</v>
      </c>
      <c r="J10" s="197">
        <f t="shared" si="5"/>
        <v>3173.08</v>
      </c>
      <c r="K10" s="198">
        <f t="shared" si="6"/>
        <v>-157.44812878100083</v>
      </c>
      <c r="L10" s="200"/>
      <c r="M10" s="200"/>
      <c r="N10" s="200"/>
      <c r="P10" s="237"/>
      <c r="Q10" s="200"/>
      <c r="R10" s="203"/>
      <c r="S10" s="200"/>
      <c r="U10" s="200"/>
    </row>
    <row r="11" spans="1:21" ht="20.25" x14ac:dyDescent="0.25">
      <c r="A11" s="184">
        <f t="shared" si="2"/>
        <v>4</v>
      </c>
      <c r="B11" s="185" t="s">
        <v>149</v>
      </c>
      <c r="C11" s="199">
        <f t="shared" si="0"/>
        <v>1105.2873394114999</v>
      </c>
      <c r="D11" s="197">
        <f t="shared" si="0"/>
        <v>980.5</v>
      </c>
      <c r="E11" s="198">
        <f t="shared" si="3"/>
        <v>-124.78733941149994</v>
      </c>
      <c r="F11" s="199">
        <f t="shared" si="1"/>
        <v>1105.2873394114999</v>
      </c>
      <c r="G11" s="197">
        <f t="shared" si="1"/>
        <v>1014.5</v>
      </c>
      <c r="H11" s="198">
        <f t="shared" si="4"/>
        <v>-90.787339411499943</v>
      </c>
      <c r="I11" s="223">
        <f t="shared" si="5"/>
        <v>2210.5746788229999</v>
      </c>
      <c r="J11" s="197">
        <f t="shared" si="5"/>
        <v>1995</v>
      </c>
      <c r="K11" s="198">
        <f t="shared" si="6"/>
        <v>-215.57467882299989</v>
      </c>
      <c r="L11" s="200"/>
      <c r="M11" s="200"/>
      <c r="N11" s="200"/>
      <c r="P11" s="237"/>
      <c r="Q11" s="200"/>
      <c r="R11" s="203"/>
      <c r="S11" s="200"/>
      <c r="U11" s="200"/>
    </row>
    <row r="12" spans="1:21" ht="20.25" x14ac:dyDescent="0.25">
      <c r="A12" s="184">
        <f t="shared" si="2"/>
        <v>5</v>
      </c>
      <c r="B12" s="185" t="s">
        <v>174</v>
      </c>
      <c r="C12" s="199">
        <f t="shared" si="0"/>
        <v>1071.352198995</v>
      </c>
      <c r="D12" s="197">
        <f t="shared" si="0"/>
        <v>935.94200000000001</v>
      </c>
      <c r="E12" s="198">
        <f t="shared" si="3"/>
        <v>-135.41019899499997</v>
      </c>
      <c r="F12" s="199">
        <f t="shared" si="1"/>
        <v>1071.352198995</v>
      </c>
      <c r="G12" s="197">
        <f t="shared" si="1"/>
        <v>450</v>
      </c>
      <c r="H12" s="198">
        <f t="shared" si="4"/>
        <v>-621.35219899499998</v>
      </c>
      <c r="I12" s="223">
        <f t="shared" si="5"/>
        <v>2142.70439799</v>
      </c>
      <c r="J12" s="197">
        <f t="shared" si="5"/>
        <v>1385.942</v>
      </c>
      <c r="K12" s="198">
        <f t="shared" si="6"/>
        <v>-756.76239798999995</v>
      </c>
      <c r="L12" s="200"/>
      <c r="M12" s="200"/>
      <c r="N12" s="200"/>
      <c r="P12" s="237"/>
      <c r="Q12" s="200"/>
      <c r="R12" s="203"/>
      <c r="S12" s="200"/>
      <c r="U12" s="200"/>
    </row>
    <row r="13" spans="1:21" ht="20.25" x14ac:dyDescent="0.25">
      <c r="A13" s="184">
        <f t="shared" si="2"/>
        <v>6</v>
      </c>
      <c r="B13" s="185" t="s">
        <v>151</v>
      </c>
      <c r="C13" s="199">
        <f t="shared" si="0"/>
        <v>1241.2789841525002</v>
      </c>
      <c r="D13" s="197">
        <f t="shared" si="0"/>
        <v>1302</v>
      </c>
      <c r="E13" s="198">
        <f t="shared" si="3"/>
        <v>60.721015847499757</v>
      </c>
      <c r="F13" s="199">
        <f t="shared" si="1"/>
        <v>1241.2789841525002</v>
      </c>
      <c r="G13" s="197">
        <f t="shared" si="1"/>
        <v>1271</v>
      </c>
      <c r="H13" s="198">
        <f t="shared" si="4"/>
        <v>29.721015847499757</v>
      </c>
      <c r="I13" s="223">
        <f t="shared" si="5"/>
        <v>2482.5579683050005</v>
      </c>
      <c r="J13" s="197">
        <f t="shared" si="5"/>
        <v>2573</v>
      </c>
      <c r="K13" s="198">
        <f t="shared" si="6"/>
        <v>90.442031694999514</v>
      </c>
      <c r="L13" s="200"/>
      <c r="M13" s="200"/>
      <c r="N13" s="200"/>
      <c r="P13" s="237"/>
      <c r="Q13" s="200"/>
      <c r="R13" s="203"/>
      <c r="S13" s="200"/>
      <c r="U13" s="200"/>
    </row>
    <row r="14" spans="1:21" ht="20.25" x14ac:dyDescent="0.25">
      <c r="A14" s="184">
        <f t="shared" si="2"/>
        <v>7</v>
      </c>
      <c r="B14" s="185" t="s">
        <v>152</v>
      </c>
      <c r="C14" s="199">
        <f t="shared" si="0"/>
        <v>1831.083917500001</v>
      </c>
      <c r="D14" s="197">
        <f t="shared" si="0"/>
        <v>1562.6189999999999</v>
      </c>
      <c r="E14" s="198">
        <f t="shared" si="3"/>
        <v>-268.46491750000109</v>
      </c>
      <c r="F14" s="199">
        <f t="shared" si="1"/>
        <v>1831.083917500001</v>
      </c>
      <c r="G14" s="197">
        <f t="shared" si="1"/>
        <v>2395.0395360000002</v>
      </c>
      <c r="H14" s="198">
        <f t="shared" si="4"/>
        <v>563.95561849999922</v>
      </c>
      <c r="I14" s="223">
        <f t="shared" si="5"/>
        <v>3662.167835000002</v>
      </c>
      <c r="J14" s="197">
        <f t="shared" si="5"/>
        <v>3957.6585359999999</v>
      </c>
      <c r="K14" s="198">
        <f t="shared" si="6"/>
        <v>295.4907009999979</v>
      </c>
      <c r="L14" s="200"/>
      <c r="M14" s="200"/>
      <c r="N14" s="200"/>
      <c r="P14" s="237"/>
      <c r="Q14" s="200"/>
      <c r="R14" s="203"/>
      <c r="S14" s="200"/>
      <c r="T14" s="205"/>
      <c r="U14" s="200"/>
    </row>
    <row r="15" spans="1:21" ht="20.25" x14ac:dyDescent="0.25">
      <c r="A15" s="184">
        <f t="shared" si="2"/>
        <v>8</v>
      </c>
      <c r="B15" s="185" t="s">
        <v>153</v>
      </c>
      <c r="C15" s="199">
        <f t="shared" si="0"/>
        <v>1207.0724546535005</v>
      </c>
      <c r="D15" s="197">
        <f t="shared" si="0"/>
        <v>760</v>
      </c>
      <c r="E15" s="198">
        <f t="shared" si="3"/>
        <v>-447.07245465350047</v>
      </c>
      <c r="F15" s="199">
        <f t="shared" si="1"/>
        <v>1207.0724546535005</v>
      </c>
      <c r="G15" s="197">
        <f t="shared" si="1"/>
        <v>760</v>
      </c>
      <c r="H15" s="198">
        <f t="shared" si="4"/>
        <v>-447.07245465350047</v>
      </c>
      <c r="I15" s="223">
        <f t="shared" si="5"/>
        <v>2414.1449093070009</v>
      </c>
      <c r="J15" s="197">
        <f t="shared" si="5"/>
        <v>1520</v>
      </c>
      <c r="K15" s="198">
        <f t="shared" si="6"/>
        <v>-894.14490930700094</v>
      </c>
      <c r="L15" s="200"/>
      <c r="M15" s="200"/>
      <c r="N15" s="200"/>
      <c r="P15" s="237"/>
      <c r="Q15" s="200"/>
      <c r="R15" s="203"/>
      <c r="S15" s="200"/>
      <c r="U15" s="200"/>
    </row>
    <row r="16" spans="1:21" ht="20.25" x14ac:dyDescent="0.25">
      <c r="A16" s="184">
        <f t="shared" si="2"/>
        <v>9</v>
      </c>
      <c r="B16" s="185" t="s">
        <v>154</v>
      </c>
      <c r="C16" s="199">
        <f t="shared" si="0"/>
        <v>1132.7162964710005</v>
      </c>
      <c r="D16" s="197">
        <f t="shared" si="0"/>
        <v>1140.9105999999999</v>
      </c>
      <c r="E16" s="198">
        <f t="shared" si="3"/>
        <v>8.1943035289993986</v>
      </c>
      <c r="F16" s="199">
        <f t="shared" si="1"/>
        <v>1132.7162964710005</v>
      </c>
      <c r="G16" s="197">
        <f t="shared" si="1"/>
        <v>989.15060000000005</v>
      </c>
      <c r="H16" s="198">
        <f t="shared" si="4"/>
        <v>-143.56569647100048</v>
      </c>
      <c r="I16" s="223">
        <f t="shared" si="5"/>
        <v>2265.4325929420011</v>
      </c>
      <c r="J16" s="197">
        <f t="shared" si="5"/>
        <v>2130.0612000000001</v>
      </c>
      <c r="K16" s="198">
        <f t="shared" si="6"/>
        <v>-135.37139294200097</v>
      </c>
      <c r="L16" s="200"/>
      <c r="M16" s="200"/>
      <c r="N16" s="200"/>
      <c r="P16" s="237"/>
      <c r="Q16" s="200"/>
      <c r="R16" s="203"/>
      <c r="S16" s="200"/>
      <c r="U16" s="200"/>
    </row>
    <row r="17" spans="1:21" ht="20.25" x14ac:dyDescent="0.25">
      <c r="A17" s="184">
        <f t="shared" si="2"/>
        <v>10</v>
      </c>
      <c r="B17" s="185" t="s">
        <v>15</v>
      </c>
      <c r="C17" s="199">
        <f t="shared" si="0"/>
        <v>1091.8347476589995</v>
      </c>
      <c r="D17" s="197">
        <f t="shared" si="0"/>
        <v>1447.75</v>
      </c>
      <c r="E17" s="198">
        <f t="shared" si="3"/>
        <v>355.9152523410005</v>
      </c>
      <c r="F17" s="199">
        <f t="shared" si="1"/>
        <v>1091.8347476589995</v>
      </c>
      <c r="G17" s="197">
        <f t="shared" si="1"/>
        <v>506</v>
      </c>
      <c r="H17" s="198">
        <f t="shared" si="4"/>
        <v>-585.8347476589995</v>
      </c>
      <c r="I17" s="223">
        <f t="shared" si="5"/>
        <v>2183.669495317999</v>
      </c>
      <c r="J17" s="197">
        <f t="shared" si="5"/>
        <v>1953.75</v>
      </c>
      <c r="K17" s="198">
        <f t="shared" si="6"/>
        <v>-229.91949531799901</v>
      </c>
      <c r="L17" s="200"/>
      <c r="M17" s="200"/>
      <c r="N17" s="200"/>
      <c r="P17" s="237"/>
      <c r="Q17" s="200"/>
      <c r="R17" s="203"/>
      <c r="S17" s="200"/>
      <c r="U17" s="200"/>
    </row>
    <row r="18" spans="1:21" ht="20.25" x14ac:dyDescent="0.25">
      <c r="A18" s="184">
        <f t="shared" si="2"/>
        <v>11</v>
      </c>
      <c r="B18" s="185" t="s">
        <v>155</v>
      </c>
      <c r="C18" s="199">
        <f t="shared" si="0"/>
        <v>1419.1280123549998</v>
      </c>
      <c r="D18" s="197">
        <f t="shared" si="0"/>
        <v>1172.5</v>
      </c>
      <c r="E18" s="198">
        <f t="shared" si="3"/>
        <v>-246.62801235499978</v>
      </c>
      <c r="F18" s="199">
        <f t="shared" si="1"/>
        <v>1419.1280123549998</v>
      </c>
      <c r="G18" s="197">
        <f t="shared" si="1"/>
        <v>919</v>
      </c>
      <c r="H18" s="198">
        <f t="shared" si="4"/>
        <v>-500.12801235499978</v>
      </c>
      <c r="I18" s="223">
        <f t="shared" si="5"/>
        <v>2838.2560247099996</v>
      </c>
      <c r="J18" s="197">
        <f t="shared" si="5"/>
        <v>2091.5</v>
      </c>
      <c r="K18" s="198">
        <f t="shared" si="6"/>
        <v>-746.75602470999956</v>
      </c>
      <c r="L18" s="200"/>
      <c r="M18" s="200"/>
      <c r="N18" s="200"/>
      <c r="P18" s="237"/>
      <c r="Q18" s="200"/>
      <c r="R18" s="203"/>
      <c r="S18" s="200"/>
      <c r="U18" s="200"/>
    </row>
    <row r="19" spans="1:21" ht="20.25" x14ac:dyDescent="0.25">
      <c r="A19" s="184">
        <f t="shared" si="2"/>
        <v>12</v>
      </c>
      <c r="B19" s="185" t="s">
        <v>156</v>
      </c>
      <c r="C19" s="199">
        <f t="shared" si="0"/>
        <v>1300.3971651659999</v>
      </c>
      <c r="D19" s="197">
        <f t="shared" si="0"/>
        <v>1155.44</v>
      </c>
      <c r="E19" s="198">
        <f t="shared" si="3"/>
        <v>-144.95716516599987</v>
      </c>
      <c r="F19" s="199">
        <f t="shared" si="1"/>
        <v>1300.3971651659999</v>
      </c>
      <c r="G19" s="197">
        <f t="shared" si="1"/>
        <v>1086.94</v>
      </c>
      <c r="H19" s="198">
        <f t="shared" si="4"/>
        <v>-213.45716516599987</v>
      </c>
      <c r="I19" s="223">
        <f t="shared" si="5"/>
        <v>2600.7943303319998</v>
      </c>
      <c r="J19" s="197">
        <f t="shared" si="5"/>
        <v>2242.38</v>
      </c>
      <c r="K19" s="198">
        <f t="shared" si="6"/>
        <v>-358.41433033199974</v>
      </c>
      <c r="L19" s="200"/>
      <c r="M19" s="200"/>
      <c r="N19" s="200"/>
      <c r="P19" s="237"/>
      <c r="Q19" s="200"/>
      <c r="R19" s="203"/>
      <c r="S19" s="200"/>
      <c r="U19" s="200"/>
    </row>
    <row r="20" spans="1:21" ht="21" thickBot="1" x14ac:dyDescent="0.3">
      <c r="A20" s="206">
        <f t="shared" si="2"/>
        <v>13</v>
      </c>
      <c r="B20" s="207" t="s">
        <v>18</v>
      </c>
      <c r="C20" s="211">
        <f t="shared" si="0"/>
        <v>1010.7905798004995</v>
      </c>
      <c r="D20" s="209">
        <f t="shared" si="0"/>
        <v>1010.42</v>
      </c>
      <c r="E20" s="210">
        <f t="shared" si="3"/>
        <v>-0.37057980049951311</v>
      </c>
      <c r="F20" s="211">
        <f t="shared" si="1"/>
        <v>1010.7905798004995</v>
      </c>
      <c r="G20" s="209">
        <f t="shared" si="1"/>
        <v>523.91999999999996</v>
      </c>
      <c r="H20" s="210">
        <f t="shared" si="4"/>
        <v>-486.87057980049951</v>
      </c>
      <c r="I20" s="224">
        <f t="shared" si="5"/>
        <v>2021.5811596009989</v>
      </c>
      <c r="J20" s="209">
        <f t="shared" si="5"/>
        <v>1534.34</v>
      </c>
      <c r="K20" s="210">
        <f t="shared" si="6"/>
        <v>-487.24115960099903</v>
      </c>
      <c r="L20" s="200"/>
      <c r="M20" s="200"/>
      <c r="N20" s="200"/>
      <c r="P20" s="237"/>
      <c r="Q20" s="200"/>
      <c r="R20" s="203"/>
      <c r="S20" s="200"/>
      <c r="U20" s="200"/>
    </row>
    <row r="21" spans="1:21" s="218" customFormat="1" ht="21" thickBot="1" x14ac:dyDescent="0.3">
      <c r="A21" s="212"/>
      <c r="B21" s="213" t="s">
        <v>163</v>
      </c>
      <c r="C21" s="217">
        <f>SUM(C7:C20)</f>
        <v>17621.916491054501</v>
      </c>
      <c r="D21" s="215">
        <f>SUM(D7:D20)</f>
        <v>16314.257599999999</v>
      </c>
      <c r="E21" s="216">
        <f>SUM(E7:E20)</f>
        <v>-1307.6588910545001</v>
      </c>
      <c r="F21" s="217">
        <f>SUM(F8:F20)</f>
        <v>16982.816491054502</v>
      </c>
      <c r="G21" s="215">
        <f>SUM(G8:G20)</f>
        <v>13164.783136000002</v>
      </c>
      <c r="H21" s="216">
        <f>SUM(H8:H20)</f>
        <v>-3818.0333550544992</v>
      </c>
      <c r="I21" s="226">
        <f>SUM(I7:I20)</f>
        <v>34604.732982108995</v>
      </c>
      <c r="J21" s="215">
        <f>SUM(J7:J20)</f>
        <v>29479.040735999999</v>
      </c>
      <c r="K21" s="216">
        <f>SUM(K7:K20)</f>
        <v>-5125.6922461089998</v>
      </c>
      <c r="M21" s="219"/>
      <c r="O21" s="238"/>
    </row>
    <row r="22" spans="1:21" ht="19.5" thickBot="1" x14ac:dyDescent="0.35">
      <c r="B22" s="177" t="s">
        <v>175</v>
      </c>
    </row>
    <row r="23" spans="1:21" x14ac:dyDescent="0.25">
      <c r="A23" s="746" t="s">
        <v>138</v>
      </c>
      <c r="B23" s="748" t="s">
        <v>139</v>
      </c>
      <c r="C23" s="742" t="s">
        <v>140</v>
      </c>
      <c r="D23" s="743"/>
      <c r="E23" s="744"/>
      <c r="F23" s="742" t="s">
        <v>141</v>
      </c>
      <c r="G23" s="743"/>
      <c r="H23" s="744"/>
      <c r="I23" s="742" t="s">
        <v>142</v>
      </c>
      <c r="J23" s="743"/>
      <c r="K23" s="744"/>
    </row>
    <row r="24" spans="1:21" ht="36.75" thickBot="1" x14ac:dyDescent="0.3">
      <c r="A24" s="747"/>
      <c r="B24" s="749"/>
      <c r="C24" s="178" t="s">
        <v>143</v>
      </c>
      <c r="D24" s="178" t="s">
        <v>144</v>
      </c>
      <c r="E24" s="179" t="s">
        <v>145</v>
      </c>
      <c r="F24" s="178" t="s">
        <v>143</v>
      </c>
      <c r="G24" s="178" t="s">
        <v>144</v>
      </c>
      <c r="H24" s="179" t="s">
        <v>145</v>
      </c>
      <c r="I24" s="178" t="s">
        <v>143</v>
      </c>
      <c r="J24" s="178" t="s">
        <v>144</v>
      </c>
      <c r="K24" s="179" t="s">
        <v>145</v>
      </c>
    </row>
    <row r="25" spans="1:21" ht="19.5" thickBot="1" x14ac:dyDescent="0.3">
      <c r="A25" s="191" t="s">
        <v>160</v>
      </c>
      <c r="B25" s="192" t="s">
        <v>161</v>
      </c>
      <c r="C25" s="194">
        <v>1</v>
      </c>
      <c r="D25" s="194">
        <v>2</v>
      </c>
      <c r="E25" s="192">
        <v>3</v>
      </c>
      <c r="F25" s="191">
        <v>4</v>
      </c>
      <c r="G25" s="194">
        <v>5</v>
      </c>
      <c r="H25" s="192">
        <v>6</v>
      </c>
      <c r="I25" s="191">
        <v>7</v>
      </c>
      <c r="J25" s="194">
        <v>8</v>
      </c>
      <c r="K25" s="192">
        <v>9</v>
      </c>
    </row>
    <row r="26" spans="1:21" ht="20.25" x14ac:dyDescent="0.25">
      <c r="A26" s="184">
        <v>1</v>
      </c>
      <c r="B26" s="185" t="s">
        <v>162</v>
      </c>
      <c r="C26" s="199">
        <v>505.15</v>
      </c>
      <c r="D26" s="197">
        <v>385</v>
      </c>
      <c r="E26" s="198">
        <f>+D26-C26</f>
        <v>-120.14999999999998</v>
      </c>
      <c r="F26" s="199">
        <v>505.15</v>
      </c>
      <c r="G26" s="197">
        <f>288</f>
        <v>288</v>
      </c>
      <c r="H26" s="198">
        <f>+G26-F26</f>
        <v>-217.14999999999998</v>
      </c>
      <c r="I26" s="223">
        <f>+C26+F26</f>
        <v>1010.3</v>
      </c>
      <c r="J26" s="197">
        <f>+D26+G26</f>
        <v>673</v>
      </c>
      <c r="K26" s="198">
        <f>+J26-I26</f>
        <v>-337.29999999999995</v>
      </c>
      <c r="P26" s="200"/>
      <c r="Q26" s="239"/>
      <c r="S26" s="200"/>
    </row>
    <row r="27" spans="1:21" ht="20.25" x14ac:dyDescent="0.25">
      <c r="A27" s="184">
        <f t="shared" ref="A27:A38" si="7">+A26+1</f>
        <v>2</v>
      </c>
      <c r="B27" s="185" t="s">
        <v>147</v>
      </c>
      <c r="C27" s="199">
        <v>506.3</v>
      </c>
      <c r="D27" s="197">
        <v>506</v>
      </c>
      <c r="E27" s="198">
        <f t="shared" ref="E27:E38" si="8">+D27-C27</f>
        <v>-0.30000000000001137</v>
      </c>
      <c r="F27" s="199">
        <v>506.3</v>
      </c>
      <c r="G27" s="197">
        <v>337</v>
      </c>
      <c r="H27" s="198">
        <f t="shared" ref="H27:H38" si="9">+G27-F27</f>
        <v>-169.3</v>
      </c>
      <c r="I27" s="223">
        <f t="shared" ref="I27:J38" si="10">+C27+F27</f>
        <v>1012.6</v>
      </c>
      <c r="J27" s="197">
        <f t="shared" si="10"/>
        <v>843</v>
      </c>
      <c r="K27" s="198">
        <f t="shared" ref="K27:K38" si="11">+J27-I27</f>
        <v>-169.60000000000002</v>
      </c>
      <c r="P27" s="200"/>
      <c r="Q27" s="239"/>
      <c r="S27" s="200"/>
    </row>
    <row r="28" spans="1:21" ht="20.25" x14ac:dyDescent="0.25">
      <c r="A28" s="184">
        <f t="shared" si="7"/>
        <v>3</v>
      </c>
      <c r="B28" s="185" t="s">
        <v>148</v>
      </c>
      <c r="C28" s="199">
        <v>665.85</v>
      </c>
      <c r="D28" s="197">
        <v>665.83500000000004</v>
      </c>
      <c r="E28" s="198">
        <f t="shared" si="8"/>
        <v>-1.4999999999986358E-2</v>
      </c>
      <c r="F28" s="199">
        <v>665.85</v>
      </c>
      <c r="G28" s="197">
        <v>443.89</v>
      </c>
      <c r="H28" s="198">
        <f t="shared" si="9"/>
        <v>-221.96000000000004</v>
      </c>
      <c r="I28" s="223">
        <f t="shared" si="10"/>
        <v>1331.7</v>
      </c>
      <c r="J28" s="197">
        <f t="shared" si="10"/>
        <v>1109.7249999999999</v>
      </c>
      <c r="K28" s="198">
        <f t="shared" si="11"/>
        <v>-221.97500000000014</v>
      </c>
      <c r="P28" s="200"/>
      <c r="Q28" s="239"/>
      <c r="S28" s="200"/>
    </row>
    <row r="29" spans="1:21" ht="20.25" x14ac:dyDescent="0.25">
      <c r="A29" s="184">
        <f t="shared" si="7"/>
        <v>4</v>
      </c>
      <c r="B29" s="185" t="s">
        <v>149</v>
      </c>
      <c r="C29" s="199">
        <v>433.7</v>
      </c>
      <c r="D29" s="197">
        <v>400</v>
      </c>
      <c r="E29" s="198">
        <f t="shared" si="8"/>
        <v>-33.699999999999989</v>
      </c>
      <c r="F29" s="199">
        <v>433.7</v>
      </c>
      <c r="G29" s="197">
        <v>400</v>
      </c>
      <c r="H29" s="198">
        <f t="shared" si="9"/>
        <v>-33.699999999999989</v>
      </c>
      <c r="I29" s="223">
        <f t="shared" si="10"/>
        <v>867.4</v>
      </c>
      <c r="J29" s="197">
        <f t="shared" si="10"/>
        <v>800</v>
      </c>
      <c r="K29" s="198">
        <f t="shared" si="11"/>
        <v>-67.399999999999977</v>
      </c>
      <c r="P29" s="200"/>
      <c r="Q29" s="239"/>
      <c r="S29" s="200"/>
    </row>
    <row r="30" spans="1:21" ht="20.25" x14ac:dyDescent="0.25">
      <c r="A30" s="184">
        <f t="shared" si="7"/>
        <v>5</v>
      </c>
      <c r="B30" s="185" t="s">
        <v>150</v>
      </c>
      <c r="C30" s="199">
        <v>432.75</v>
      </c>
      <c r="D30" s="197">
        <v>366.94200000000001</v>
      </c>
      <c r="E30" s="198">
        <f t="shared" si="8"/>
        <v>-65.807999999999993</v>
      </c>
      <c r="F30" s="199">
        <v>432.75</v>
      </c>
      <c r="G30" s="197">
        <v>200</v>
      </c>
      <c r="H30" s="198">
        <f t="shared" si="9"/>
        <v>-232.75</v>
      </c>
      <c r="I30" s="223">
        <f t="shared" si="10"/>
        <v>865.5</v>
      </c>
      <c r="J30" s="197">
        <f t="shared" si="10"/>
        <v>566.94200000000001</v>
      </c>
      <c r="K30" s="198">
        <f t="shared" si="11"/>
        <v>-298.55799999999999</v>
      </c>
      <c r="P30" s="200"/>
      <c r="Q30" s="239"/>
      <c r="S30" s="200"/>
    </row>
    <row r="31" spans="1:21" ht="20.25" x14ac:dyDescent="0.25">
      <c r="A31" s="184">
        <f t="shared" si="7"/>
        <v>6</v>
      </c>
      <c r="B31" s="185" t="s">
        <v>151</v>
      </c>
      <c r="C31" s="199">
        <v>521.9</v>
      </c>
      <c r="D31" s="197">
        <f>250+272+31</f>
        <v>553</v>
      </c>
      <c r="E31" s="198">
        <f t="shared" si="8"/>
        <v>31.100000000000023</v>
      </c>
      <c r="F31" s="199">
        <v>521.9</v>
      </c>
      <c r="G31" s="197">
        <f>250+272</f>
        <v>522</v>
      </c>
      <c r="H31" s="198">
        <f t="shared" si="9"/>
        <v>0.10000000000002274</v>
      </c>
      <c r="I31" s="223">
        <f t="shared" si="10"/>
        <v>1043.8</v>
      </c>
      <c r="J31" s="197">
        <f t="shared" si="10"/>
        <v>1075</v>
      </c>
      <c r="K31" s="198">
        <f t="shared" si="11"/>
        <v>31.200000000000045</v>
      </c>
      <c r="P31" s="200"/>
      <c r="Q31" s="239"/>
      <c r="S31" s="200"/>
    </row>
    <row r="32" spans="1:21" ht="20.25" x14ac:dyDescent="0.25">
      <c r="A32" s="184">
        <f t="shared" si="7"/>
        <v>7</v>
      </c>
      <c r="B32" s="185" t="s">
        <v>152</v>
      </c>
      <c r="C32" s="199">
        <v>658.45</v>
      </c>
      <c r="D32" s="197">
        <v>500</v>
      </c>
      <c r="E32" s="198">
        <f t="shared" si="8"/>
        <v>-158.45000000000005</v>
      </c>
      <c r="F32" s="199">
        <v>658.45</v>
      </c>
      <c r="G32" s="197">
        <v>300</v>
      </c>
      <c r="H32" s="198">
        <f t="shared" si="9"/>
        <v>-358.45000000000005</v>
      </c>
      <c r="I32" s="223">
        <f t="shared" si="10"/>
        <v>1316.9</v>
      </c>
      <c r="J32" s="197">
        <f t="shared" si="10"/>
        <v>800</v>
      </c>
      <c r="K32" s="198">
        <f t="shared" si="11"/>
        <v>-516.90000000000009</v>
      </c>
      <c r="P32" s="200"/>
      <c r="Q32" s="239"/>
      <c r="S32" s="200"/>
    </row>
    <row r="33" spans="1:19" ht="20.25" x14ac:dyDescent="0.25">
      <c r="A33" s="184">
        <f t="shared" si="7"/>
        <v>8</v>
      </c>
      <c r="B33" s="185" t="s">
        <v>153</v>
      </c>
      <c r="C33" s="199">
        <v>429</v>
      </c>
      <c r="D33" s="197">
        <v>320</v>
      </c>
      <c r="E33" s="198">
        <f t="shared" si="8"/>
        <v>-109</v>
      </c>
      <c r="F33" s="199">
        <v>429</v>
      </c>
      <c r="G33" s="197">
        <v>320</v>
      </c>
      <c r="H33" s="198">
        <f t="shared" si="9"/>
        <v>-109</v>
      </c>
      <c r="I33" s="223">
        <f t="shared" si="10"/>
        <v>858</v>
      </c>
      <c r="J33" s="197">
        <f t="shared" si="10"/>
        <v>640</v>
      </c>
      <c r="K33" s="198">
        <f t="shared" si="11"/>
        <v>-218</v>
      </c>
      <c r="P33" s="200"/>
      <c r="Q33" s="239"/>
      <c r="S33" s="200"/>
    </row>
    <row r="34" spans="1:19" ht="20.25" x14ac:dyDescent="0.25">
      <c r="A34" s="184">
        <f t="shared" si="7"/>
        <v>9</v>
      </c>
      <c r="B34" s="185" t="s">
        <v>154</v>
      </c>
      <c r="C34" s="199">
        <v>455.15</v>
      </c>
      <c r="D34" s="197">
        <v>455.16</v>
      </c>
      <c r="E34" s="198">
        <f t="shared" si="8"/>
        <v>1.0000000000047748E-2</v>
      </c>
      <c r="F34" s="199">
        <v>455.15</v>
      </c>
      <c r="G34" s="197">
        <v>303.39999999999998</v>
      </c>
      <c r="H34" s="198">
        <f t="shared" si="9"/>
        <v>-151.75</v>
      </c>
      <c r="I34" s="223">
        <f t="shared" si="10"/>
        <v>910.3</v>
      </c>
      <c r="J34" s="197">
        <f t="shared" si="10"/>
        <v>758.56</v>
      </c>
      <c r="K34" s="198">
        <f t="shared" si="11"/>
        <v>-151.74</v>
      </c>
      <c r="P34" s="200"/>
      <c r="Q34" s="239"/>
      <c r="S34" s="200"/>
    </row>
    <row r="35" spans="1:19" ht="20.25" x14ac:dyDescent="0.25">
      <c r="A35" s="184">
        <f t="shared" si="7"/>
        <v>10</v>
      </c>
      <c r="B35" s="185" t="s">
        <v>15</v>
      </c>
      <c r="C35" s="199">
        <v>452.65</v>
      </c>
      <c r="D35" s="197">
        <f>552+31.75</f>
        <v>583.75</v>
      </c>
      <c r="E35" s="198">
        <f t="shared" si="8"/>
        <v>131.10000000000002</v>
      </c>
      <c r="F35" s="199">
        <v>452.65</v>
      </c>
      <c r="G35" s="197">
        <v>100</v>
      </c>
      <c r="H35" s="198">
        <f t="shared" si="9"/>
        <v>-352.65</v>
      </c>
      <c r="I35" s="223">
        <f t="shared" si="10"/>
        <v>905.3</v>
      </c>
      <c r="J35" s="197">
        <f t="shared" si="10"/>
        <v>683.75</v>
      </c>
      <c r="K35" s="198">
        <f t="shared" si="11"/>
        <v>-221.54999999999995</v>
      </c>
      <c r="P35" s="200"/>
      <c r="Q35" s="239"/>
      <c r="S35" s="200"/>
    </row>
    <row r="36" spans="1:19" ht="20.25" x14ac:dyDescent="0.25">
      <c r="A36" s="184">
        <f t="shared" si="7"/>
        <v>11</v>
      </c>
      <c r="B36" s="185" t="s">
        <v>155</v>
      </c>
      <c r="C36" s="199">
        <v>577.95000000000005</v>
      </c>
      <c r="D36" s="197">
        <v>400</v>
      </c>
      <c r="E36" s="198">
        <f t="shared" si="8"/>
        <v>-177.95000000000005</v>
      </c>
      <c r="F36" s="199">
        <v>577.95000000000005</v>
      </c>
      <c r="G36" s="197"/>
      <c r="H36" s="198">
        <f t="shared" si="9"/>
        <v>-577.95000000000005</v>
      </c>
      <c r="I36" s="223">
        <f t="shared" si="10"/>
        <v>1155.9000000000001</v>
      </c>
      <c r="J36" s="197">
        <f t="shared" si="10"/>
        <v>400</v>
      </c>
      <c r="K36" s="198">
        <f t="shared" si="11"/>
        <v>-755.90000000000009</v>
      </c>
      <c r="P36" s="200"/>
      <c r="Q36" s="239"/>
      <c r="S36" s="200"/>
    </row>
    <row r="37" spans="1:19" ht="20.25" x14ac:dyDescent="0.25">
      <c r="A37" s="184">
        <f t="shared" si="7"/>
        <v>12</v>
      </c>
      <c r="B37" s="185" t="s">
        <v>156</v>
      </c>
      <c r="C37" s="199">
        <v>524.85</v>
      </c>
      <c r="D37" s="197">
        <v>391.54</v>
      </c>
      <c r="E37" s="198">
        <f t="shared" si="8"/>
        <v>-133.31</v>
      </c>
      <c r="F37" s="199">
        <v>524.85</v>
      </c>
      <c r="G37" s="197">
        <v>391.54</v>
      </c>
      <c r="H37" s="198">
        <f t="shared" si="9"/>
        <v>-133.31</v>
      </c>
      <c r="I37" s="223">
        <f t="shared" si="10"/>
        <v>1049.7</v>
      </c>
      <c r="J37" s="197">
        <f t="shared" si="10"/>
        <v>783.08</v>
      </c>
      <c r="K37" s="198">
        <f t="shared" si="11"/>
        <v>-266.62</v>
      </c>
      <c r="P37" s="200"/>
      <c r="Q37" s="239"/>
      <c r="S37" s="200"/>
    </row>
    <row r="38" spans="1:19" ht="21" thickBot="1" x14ac:dyDescent="0.3">
      <c r="A38" s="206">
        <f t="shared" si="7"/>
        <v>13</v>
      </c>
      <c r="B38" s="207" t="s">
        <v>18</v>
      </c>
      <c r="C38" s="211">
        <v>319.45</v>
      </c>
      <c r="D38" s="209">
        <v>320</v>
      </c>
      <c r="E38" s="210">
        <f t="shared" si="8"/>
        <v>0.55000000000001137</v>
      </c>
      <c r="F38" s="211">
        <v>319.45</v>
      </c>
      <c r="G38" s="209">
        <v>150</v>
      </c>
      <c r="H38" s="210">
        <f t="shared" si="9"/>
        <v>-169.45</v>
      </c>
      <c r="I38" s="224">
        <f t="shared" si="10"/>
        <v>638.9</v>
      </c>
      <c r="J38" s="209">
        <f t="shared" si="10"/>
        <v>470</v>
      </c>
      <c r="K38" s="210">
        <f t="shared" si="11"/>
        <v>-168.89999999999998</v>
      </c>
      <c r="P38" s="200"/>
      <c r="Q38" s="239"/>
      <c r="S38" s="200"/>
    </row>
    <row r="39" spans="1:19" ht="21" thickBot="1" x14ac:dyDescent="0.3">
      <c r="A39" s="212"/>
      <c r="B39" s="213" t="s">
        <v>163</v>
      </c>
      <c r="C39" s="217">
        <f>SUM(C26:C38)</f>
        <v>6483.15</v>
      </c>
      <c r="D39" s="215">
        <f t="shared" ref="D39:K39" si="12">SUM(D26:D38)</f>
        <v>5847.2269999999999</v>
      </c>
      <c r="E39" s="216">
        <f t="shared" si="12"/>
        <v>-635.923</v>
      </c>
      <c r="F39" s="217">
        <f t="shared" si="12"/>
        <v>6483.15</v>
      </c>
      <c r="G39" s="215">
        <f t="shared" si="12"/>
        <v>3755.83</v>
      </c>
      <c r="H39" s="216">
        <f t="shared" si="12"/>
        <v>-2727.32</v>
      </c>
      <c r="I39" s="226">
        <f t="shared" si="12"/>
        <v>12966.3</v>
      </c>
      <c r="J39" s="215">
        <f t="shared" si="12"/>
        <v>9603.0569999999989</v>
      </c>
      <c r="K39" s="216">
        <f t="shared" si="12"/>
        <v>-3363.2430000000004</v>
      </c>
    </row>
    <row r="40" spans="1:19" ht="19.5" thickBot="1" x14ac:dyDescent="0.35">
      <c r="B40" s="177" t="s">
        <v>176</v>
      </c>
    </row>
    <row r="41" spans="1:19" x14ac:dyDescent="0.25">
      <c r="A41" s="746" t="s">
        <v>138</v>
      </c>
      <c r="B41" s="748" t="s">
        <v>139</v>
      </c>
      <c r="C41" s="742" t="s">
        <v>140</v>
      </c>
      <c r="D41" s="743"/>
      <c r="E41" s="744"/>
      <c r="F41" s="742" t="s">
        <v>141</v>
      </c>
      <c r="G41" s="743"/>
      <c r="H41" s="744"/>
      <c r="I41" s="742" t="s">
        <v>142</v>
      </c>
      <c r="J41" s="743"/>
      <c r="K41" s="744"/>
    </row>
    <row r="42" spans="1:19" ht="36.75" thickBot="1" x14ac:dyDescent="0.3">
      <c r="A42" s="747"/>
      <c r="B42" s="749"/>
      <c r="C42" s="178" t="s">
        <v>143</v>
      </c>
      <c r="D42" s="178" t="s">
        <v>144</v>
      </c>
      <c r="E42" s="179" t="s">
        <v>145</v>
      </c>
      <c r="F42" s="178" t="s">
        <v>143</v>
      </c>
      <c r="G42" s="178" t="s">
        <v>144</v>
      </c>
      <c r="H42" s="179" t="s">
        <v>145</v>
      </c>
      <c r="I42" s="178" t="s">
        <v>143</v>
      </c>
      <c r="J42" s="178" t="s">
        <v>144</v>
      </c>
      <c r="K42" s="179" t="s">
        <v>145</v>
      </c>
    </row>
    <row r="43" spans="1:19" ht="19.5" thickBot="1" x14ac:dyDescent="0.3">
      <c r="A43" s="191" t="s">
        <v>160</v>
      </c>
      <c r="B43" s="192" t="s">
        <v>161</v>
      </c>
      <c r="C43" s="194">
        <v>1</v>
      </c>
      <c r="D43" s="194">
        <v>2</v>
      </c>
      <c r="E43" s="192">
        <v>3</v>
      </c>
      <c r="F43" s="191">
        <v>4</v>
      </c>
      <c r="G43" s="194">
        <v>5</v>
      </c>
      <c r="H43" s="192">
        <v>6</v>
      </c>
      <c r="I43" s="191">
        <v>7</v>
      </c>
      <c r="J43" s="194">
        <v>8</v>
      </c>
      <c r="K43" s="192">
        <v>9</v>
      </c>
    </row>
    <row r="44" spans="1:19" ht="20.25" x14ac:dyDescent="0.25">
      <c r="A44" s="184">
        <v>1</v>
      </c>
      <c r="B44" s="185" t="s">
        <v>162</v>
      </c>
      <c r="C44" s="199">
        <v>267.91530899999998</v>
      </c>
      <c r="D44" s="197">
        <v>270</v>
      </c>
      <c r="E44" s="198">
        <f>+D44-C44</f>
        <v>2.0846910000000207</v>
      </c>
      <c r="F44" s="199">
        <v>267.91530899999998</v>
      </c>
      <c r="G44" s="197"/>
      <c r="H44" s="198">
        <f>+G44-F44</f>
        <v>-267.91530899999998</v>
      </c>
      <c r="I44" s="223">
        <f>+C44+F44</f>
        <v>535.83061799999996</v>
      </c>
      <c r="J44" s="197">
        <f>+D44+G44</f>
        <v>270</v>
      </c>
      <c r="K44" s="198">
        <f>+J44-I44</f>
        <v>-265.83061799999996</v>
      </c>
    </row>
    <row r="45" spans="1:19" ht="20.25" x14ac:dyDescent="0.25">
      <c r="A45" s="184">
        <f t="shared" ref="A45:A56" si="13">+A44+1</f>
        <v>2</v>
      </c>
      <c r="B45" s="185" t="s">
        <v>147</v>
      </c>
      <c r="C45" s="199">
        <v>261.50932949999941</v>
      </c>
      <c r="D45" s="197">
        <v>261</v>
      </c>
      <c r="E45" s="198">
        <f t="shared" ref="E45:E56" si="14">+D45-C45</f>
        <v>-0.50932949999941002</v>
      </c>
      <c r="F45" s="199">
        <v>261.50932949999941</v>
      </c>
      <c r="G45" s="197">
        <v>150</v>
      </c>
      <c r="H45" s="198">
        <f t="shared" ref="H45:H56" si="15">+G45-F45</f>
        <v>-111.50932949999941</v>
      </c>
      <c r="I45" s="223">
        <f t="shared" ref="I45:J56" si="16">+C45+F45</f>
        <v>523.01865899999882</v>
      </c>
      <c r="J45" s="197">
        <f t="shared" si="16"/>
        <v>411</v>
      </c>
      <c r="K45" s="198">
        <f t="shared" ref="K45:K56" si="17">+J45-I45</f>
        <v>-112.01865899999882</v>
      </c>
    </row>
    <row r="46" spans="1:19" ht="20.25" x14ac:dyDescent="0.25">
      <c r="A46" s="184">
        <f t="shared" si="13"/>
        <v>3</v>
      </c>
      <c r="B46" s="185" t="s">
        <v>148</v>
      </c>
      <c r="C46" s="199">
        <v>329.13295189050035</v>
      </c>
      <c r="D46" s="197">
        <v>328.16999999999996</v>
      </c>
      <c r="E46" s="198">
        <f t="shared" si="14"/>
        <v>-0.96295189050039198</v>
      </c>
      <c r="F46" s="199">
        <v>329.13295189050035</v>
      </c>
      <c r="G46" s="197">
        <v>109.39</v>
      </c>
      <c r="H46" s="198">
        <f t="shared" si="15"/>
        <v>-219.74295189050036</v>
      </c>
      <c r="I46" s="223">
        <f t="shared" si="16"/>
        <v>658.2659037810007</v>
      </c>
      <c r="J46" s="197">
        <f t="shared" si="16"/>
        <v>437.55999999999995</v>
      </c>
      <c r="K46" s="198">
        <f t="shared" si="17"/>
        <v>-220.70590378100076</v>
      </c>
    </row>
    <row r="47" spans="1:19" ht="20.25" x14ac:dyDescent="0.25">
      <c r="A47" s="184">
        <f t="shared" si="13"/>
        <v>4</v>
      </c>
      <c r="B47" s="185" t="s">
        <v>149</v>
      </c>
      <c r="C47" s="199">
        <v>243.70296449999995</v>
      </c>
      <c r="D47" s="197">
        <v>100</v>
      </c>
      <c r="E47" s="198">
        <f t="shared" si="14"/>
        <v>-143.70296449999995</v>
      </c>
      <c r="F47" s="199">
        <v>243.70296449999995</v>
      </c>
      <c r="G47" s="197"/>
      <c r="H47" s="198">
        <f t="shared" si="15"/>
        <v>-243.70296449999995</v>
      </c>
      <c r="I47" s="223">
        <f t="shared" si="16"/>
        <v>487.4059289999999</v>
      </c>
      <c r="J47" s="197">
        <f t="shared" si="16"/>
        <v>100</v>
      </c>
      <c r="K47" s="198">
        <f t="shared" si="17"/>
        <v>-387.4059289999999</v>
      </c>
    </row>
    <row r="48" spans="1:19" ht="20.25" x14ac:dyDescent="0.25">
      <c r="A48" s="184">
        <f t="shared" si="13"/>
        <v>5</v>
      </c>
      <c r="B48" s="185" t="s">
        <v>150</v>
      </c>
      <c r="C48" s="199">
        <v>251.43490649999976</v>
      </c>
      <c r="D48" s="197">
        <v>240</v>
      </c>
      <c r="E48" s="198">
        <f t="shared" si="14"/>
        <v>-11.434906499999755</v>
      </c>
      <c r="F48" s="199">
        <v>251.43490649999976</v>
      </c>
      <c r="G48" s="197">
        <v>100</v>
      </c>
      <c r="H48" s="198">
        <f t="shared" si="15"/>
        <v>-151.43490649999976</v>
      </c>
      <c r="I48" s="223">
        <f t="shared" si="16"/>
        <v>502.86981299999951</v>
      </c>
      <c r="J48" s="197">
        <f t="shared" si="16"/>
        <v>340</v>
      </c>
      <c r="K48" s="198">
        <f t="shared" si="17"/>
        <v>-162.86981299999951</v>
      </c>
    </row>
    <row r="49" spans="1:11" ht="20.25" x14ac:dyDescent="0.25">
      <c r="A49" s="184">
        <f t="shared" si="13"/>
        <v>6</v>
      </c>
      <c r="B49" s="185" t="s">
        <v>151</v>
      </c>
      <c r="C49" s="199">
        <v>245.84816850000016</v>
      </c>
      <c r="D49" s="197">
        <v>246</v>
      </c>
      <c r="E49" s="198">
        <f t="shared" si="14"/>
        <v>0.1518314999998438</v>
      </c>
      <c r="F49" s="199">
        <v>245.84816850000016</v>
      </c>
      <c r="G49" s="197">
        <v>246</v>
      </c>
      <c r="H49" s="198">
        <f t="shared" si="15"/>
        <v>0.1518314999998438</v>
      </c>
      <c r="I49" s="223">
        <f t="shared" si="16"/>
        <v>491.69633700000031</v>
      </c>
      <c r="J49" s="197">
        <f t="shared" si="16"/>
        <v>492</v>
      </c>
      <c r="K49" s="198">
        <f t="shared" si="17"/>
        <v>0.3036629999996876</v>
      </c>
    </row>
    <row r="50" spans="1:11" ht="20.25" x14ac:dyDescent="0.25">
      <c r="A50" s="184">
        <f t="shared" si="13"/>
        <v>7</v>
      </c>
      <c r="B50" s="185" t="s">
        <v>152</v>
      </c>
      <c r="C50" s="199">
        <v>290.02890900000085</v>
      </c>
      <c r="D50" s="197">
        <v>250</v>
      </c>
      <c r="E50" s="198">
        <f t="shared" si="14"/>
        <v>-40.028909000000851</v>
      </c>
      <c r="F50" s="199">
        <v>290.02890900000085</v>
      </c>
      <c r="G50" s="197">
        <v>250</v>
      </c>
      <c r="H50" s="198">
        <f t="shared" si="15"/>
        <v>-40.028909000000851</v>
      </c>
      <c r="I50" s="223">
        <f t="shared" si="16"/>
        <v>580.0578180000017</v>
      </c>
      <c r="J50" s="197">
        <f t="shared" si="16"/>
        <v>500</v>
      </c>
      <c r="K50" s="198">
        <f t="shared" si="17"/>
        <v>-80.057818000001703</v>
      </c>
    </row>
    <row r="51" spans="1:11" ht="20.25" x14ac:dyDescent="0.25">
      <c r="A51" s="184">
        <f t="shared" si="13"/>
        <v>8</v>
      </c>
      <c r="B51" s="185" t="s">
        <v>153</v>
      </c>
      <c r="C51" s="199">
        <v>198.35058565350036</v>
      </c>
      <c r="D51" s="197">
        <v>100</v>
      </c>
      <c r="E51" s="198">
        <f t="shared" si="14"/>
        <v>-98.35058565350036</v>
      </c>
      <c r="F51" s="199">
        <v>198.35058565350036</v>
      </c>
      <c r="G51" s="197">
        <v>100</v>
      </c>
      <c r="H51" s="198">
        <f t="shared" si="15"/>
        <v>-98.35058565350036</v>
      </c>
      <c r="I51" s="223">
        <f t="shared" si="16"/>
        <v>396.70117130700072</v>
      </c>
      <c r="J51" s="197">
        <f t="shared" si="16"/>
        <v>200</v>
      </c>
      <c r="K51" s="198">
        <f t="shared" si="17"/>
        <v>-196.70117130700072</v>
      </c>
    </row>
    <row r="52" spans="1:11" ht="20.25" x14ac:dyDescent="0.25">
      <c r="A52" s="184">
        <f t="shared" si="13"/>
        <v>9</v>
      </c>
      <c r="B52" s="185" t="s">
        <v>154</v>
      </c>
      <c r="C52" s="199">
        <v>218.96060897100025</v>
      </c>
      <c r="D52" s="197">
        <v>230.7756</v>
      </c>
      <c r="E52" s="198">
        <f t="shared" si="14"/>
        <v>11.814991028999742</v>
      </c>
      <c r="F52" s="199">
        <v>218.96060897100025</v>
      </c>
      <c r="G52" s="197">
        <v>230.77560000000005</v>
      </c>
      <c r="H52" s="198">
        <f t="shared" si="15"/>
        <v>11.814991028999799</v>
      </c>
      <c r="I52" s="223">
        <f t="shared" si="16"/>
        <v>437.92121794200051</v>
      </c>
      <c r="J52" s="197">
        <f t="shared" si="16"/>
        <v>461.55120000000005</v>
      </c>
      <c r="K52" s="198">
        <f t="shared" si="17"/>
        <v>23.629982057999541</v>
      </c>
    </row>
    <row r="53" spans="1:11" ht="20.25" x14ac:dyDescent="0.25">
      <c r="A53" s="184">
        <f t="shared" si="13"/>
        <v>10</v>
      </c>
      <c r="B53" s="185" t="s">
        <v>15</v>
      </c>
      <c r="C53" s="199">
        <v>170.33365515899973</v>
      </c>
      <c r="D53" s="197">
        <v>520</v>
      </c>
      <c r="E53" s="198">
        <f t="shared" si="14"/>
        <v>349.6663448410003</v>
      </c>
      <c r="F53" s="199">
        <v>170.33365515899973</v>
      </c>
      <c r="G53" s="197"/>
      <c r="H53" s="198">
        <f t="shared" si="15"/>
        <v>-170.33365515899973</v>
      </c>
      <c r="I53" s="223">
        <f t="shared" si="16"/>
        <v>340.66731031799947</v>
      </c>
      <c r="J53" s="197">
        <f t="shared" si="16"/>
        <v>520</v>
      </c>
      <c r="K53" s="198">
        <f t="shared" si="17"/>
        <v>179.33268968200053</v>
      </c>
    </row>
    <row r="54" spans="1:11" ht="20.25" x14ac:dyDescent="0.25">
      <c r="A54" s="184">
        <f t="shared" si="13"/>
        <v>11</v>
      </c>
      <c r="B54" s="185" t="s">
        <v>155</v>
      </c>
      <c r="C54" s="199">
        <v>236.13375029999983</v>
      </c>
      <c r="D54" s="197">
        <v>200</v>
      </c>
      <c r="E54" s="198">
        <f t="shared" si="14"/>
        <v>-36.133750299999832</v>
      </c>
      <c r="F54" s="199">
        <v>236.13375029999983</v>
      </c>
      <c r="G54" s="197">
        <v>246.5</v>
      </c>
      <c r="H54" s="198">
        <f t="shared" si="15"/>
        <v>10.366249700000168</v>
      </c>
      <c r="I54" s="223">
        <f t="shared" si="16"/>
        <v>472.26750059999966</v>
      </c>
      <c r="J54" s="197">
        <f t="shared" si="16"/>
        <v>446.5</v>
      </c>
      <c r="K54" s="198">
        <f t="shared" si="17"/>
        <v>-25.767500599999664</v>
      </c>
    </row>
    <row r="55" spans="1:11" ht="20.25" x14ac:dyDescent="0.25">
      <c r="A55" s="184">
        <f t="shared" si="13"/>
        <v>12</v>
      </c>
      <c r="B55" s="185" t="s">
        <v>156</v>
      </c>
      <c r="C55" s="199">
        <v>217.61442600000004</v>
      </c>
      <c r="D55" s="197">
        <v>205</v>
      </c>
      <c r="E55" s="198">
        <f t="shared" si="14"/>
        <v>-12.614426000000037</v>
      </c>
      <c r="F55" s="199">
        <v>217.61442600000004</v>
      </c>
      <c r="G55" s="197">
        <f>137-0.5</f>
        <v>136.5</v>
      </c>
      <c r="H55" s="198">
        <f t="shared" si="15"/>
        <v>-81.114426000000037</v>
      </c>
      <c r="I55" s="223">
        <f t="shared" si="16"/>
        <v>435.22885200000007</v>
      </c>
      <c r="J55" s="197">
        <f t="shared" si="16"/>
        <v>341.5</v>
      </c>
      <c r="K55" s="198">
        <f t="shared" si="17"/>
        <v>-93.728852000000074</v>
      </c>
    </row>
    <row r="56" spans="1:11" ht="21" thickBot="1" x14ac:dyDescent="0.3">
      <c r="A56" s="206">
        <f t="shared" si="13"/>
        <v>13</v>
      </c>
      <c r="B56" s="207" t="s">
        <v>18</v>
      </c>
      <c r="C56" s="211">
        <v>186.51194380049952</v>
      </c>
      <c r="D56" s="209">
        <v>187</v>
      </c>
      <c r="E56" s="210">
        <f t="shared" si="14"/>
        <v>0.48805619950047685</v>
      </c>
      <c r="F56" s="211">
        <v>186.51194380049952</v>
      </c>
      <c r="G56" s="209">
        <v>70</v>
      </c>
      <c r="H56" s="210">
        <f t="shared" si="15"/>
        <v>-116.51194380049952</v>
      </c>
      <c r="I56" s="224">
        <f t="shared" si="16"/>
        <v>373.02388760099905</v>
      </c>
      <c r="J56" s="209">
        <f t="shared" si="16"/>
        <v>257</v>
      </c>
      <c r="K56" s="210">
        <f t="shared" si="17"/>
        <v>-116.02388760099905</v>
      </c>
    </row>
    <row r="57" spans="1:11" ht="21" thickBot="1" x14ac:dyDescent="0.3">
      <c r="A57" s="212"/>
      <c r="B57" s="213" t="s">
        <v>163</v>
      </c>
      <c r="C57" s="217">
        <f>SUM(C44:C56)</f>
        <v>3117.4775087745002</v>
      </c>
      <c r="D57" s="215">
        <f t="shared" ref="D57:K57" si="18">SUM(D44:D56)</f>
        <v>3137.9456</v>
      </c>
      <c r="E57" s="216">
        <f t="shared" si="18"/>
        <v>20.468091225499762</v>
      </c>
      <c r="F57" s="217">
        <f t="shared" si="18"/>
        <v>3117.4775087745002</v>
      </c>
      <c r="G57" s="215">
        <f t="shared" si="18"/>
        <v>1639.1656</v>
      </c>
      <c r="H57" s="216">
        <f t="shared" si="18"/>
        <v>-1478.3119087745001</v>
      </c>
      <c r="I57" s="226">
        <f t="shared" si="18"/>
        <v>6234.9550175490003</v>
      </c>
      <c r="J57" s="215">
        <f t="shared" si="18"/>
        <v>4777.1111999999994</v>
      </c>
      <c r="K57" s="216">
        <f t="shared" si="18"/>
        <v>-1457.8438175490005</v>
      </c>
    </row>
    <row r="58" spans="1:11" ht="19.5" thickBot="1" x14ac:dyDescent="0.35">
      <c r="B58" s="177" t="s">
        <v>177</v>
      </c>
    </row>
    <row r="59" spans="1:11" x14ac:dyDescent="0.25">
      <c r="A59" s="746" t="s">
        <v>138</v>
      </c>
      <c r="B59" s="748" t="s">
        <v>139</v>
      </c>
      <c r="C59" s="742" t="s">
        <v>140</v>
      </c>
      <c r="D59" s="743"/>
      <c r="E59" s="744"/>
      <c r="F59" s="742" t="s">
        <v>141</v>
      </c>
      <c r="G59" s="743"/>
      <c r="H59" s="744"/>
      <c r="I59" s="742" t="s">
        <v>142</v>
      </c>
      <c r="J59" s="743"/>
      <c r="K59" s="744"/>
    </row>
    <row r="60" spans="1:11" ht="36.75" thickBot="1" x14ac:dyDescent="0.3">
      <c r="A60" s="747"/>
      <c r="B60" s="749"/>
      <c r="C60" s="178" t="s">
        <v>143</v>
      </c>
      <c r="D60" s="178" t="s">
        <v>144</v>
      </c>
      <c r="E60" s="179" t="s">
        <v>145</v>
      </c>
      <c r="F60" s="178" t="s">
        <v>143</v>
      </c>
      <c r="G60" s="178" t="s">
        <v>144</v>
      </c>
      <c r="H60" s="179" t="s">
        <v>145</v>
      </c>
      <c r="I60" s="178" t="s">
        <v>143</v>
      </c>
      <c r="J60" s="178" t="s">
        <v>144</v>
      </c>
      <c r="K60" s="179" t="s">
        <v>145</v>
      </c>
    </row>
    <row r="61" spans="1:11" ht="19.5" thickBot="1" x14ac:dyDescent="0.3">
      <c r="A61" s="191" t="s">
        <v>160</v>
      </c>
      <c r="B61" s="192" t="s">
        <v>161</v>
      </c>
      <c r="C61" s="194">
        <v>1</v>
      </c>
      <c r="D61" s="194">
        <v>2</v>
      </c>
      <c r="E61" s="192">
        <v>3</v>
      </c>
      <c r="F61" s="191">
        <v>4</v>
      </c>
      <c r="G61" s="194">
        <v>5</v>
      </c>
      <c r="H61" s="192">
        <v>6</v>
      </c>
      <c r="I61" s="191">
        <v>7</v>
      </c>
      <c r="J61" s="194">
        <v>8</v>
      </c>
      <c r="K61" s="192">
        <v>9</v>
      </c>
    </row>
    <row r="62" spans="1:11" ht="20.25" x14ac:dyDescent="0.25">
      <c r="A62" s="184">
        <v>1</v>
      </c>
      <c r="B62" s="185" t="s">
        <v>162</v>
      </c>
      <c r="C62" s="199">
        <v>504.74719049999993</v>
      </c>
      <c r="D62" s="197">
        <v>260</v>
      </c>
      <c r="E62" s="198">
        <f>+D62-C62</f>
        <v>-244.74719049999993</v>
      </c>
      <c r="F62" s="199">
        <v>504.74719049999993</v>
      </c>
      <c r="G62" s="197">
        <v>250</v>
      </c>
      <c r="H62" s="198">
        <f>+G62-F62</f>
        <v>-254.74719049999993</v>
      </c>
      <c r="I62" s="223">
        <f>+C62+F62</f>
        <v>1009.4943809999999</v>
      </c>
      <c r="J62" s="197">
        <f>+D62+G62</f>
        <v>510</v>
      </c>
      <c r="K62" s="198">
        <f>+J62-I62</f>
        <v>-499.49438099999986</v>
      </c>
    </row>
    <row r="63" spans="1:11" ht="20.25" x14ac:dyDescent="0.25">
      <c r="A63" s="184">
        <f t="shared" ref="A63:A74" si="19">+A62+1</f>
        <v>2</v>
      </c>
      <c r="B63" s="185" t="s">
        <v>147</v>
      </c>
      <c r="C63" s="199">
        <v>210.21141599999964</v>
      </c>
      <c r="D63" s="197">
        <f>140.141+70.0700000000001</f>
        <v>210.2110000000001</v>
      </c>
      <c r="E63" s="198">
        <f t="shared" ref="E63:E74" si="20">+D63-C63</f>
        <v>-4.1599999954655686E-4</v>
      </c>
      <c r="F63" s="199">
        <v>210.21141599999964</v>
      </c>
      <c r="G63" s="197">
        <v>210.21100000000001</v>
      </c>
      <c r="H63" s="198">
        <f t="shared" ref="H63:H74" si="21">+G63-F63</f>
        <v>-4.1599999963182199E-4</v>
      </c>
      <c r="I63" s="223">
        <f t="shared" ref="I63:J74" si="22">+C63+F63</f>
        <v>420.42283199999929</v>
      </c>
      <c r="J63" s="197">
        <f t="shared" si="22"/>
        <v>420.42200000000014</v>
      </c>
      <c r="K63" s="198">
        <f t="shared" ref="K63:K74" si="23">+J63-I63</f>
        <v>-8.3199999914995715E-4</v>
      </c>
    </row>
    <row r="64" spans="1:11" ht="20.25" x14ac:dyDescent="0.25">
      <c r="A64" s="184">
        <f t="shared" si="19"/>
        <v>3</v>
      </c>
      <c r="B64" s="185" t="s">
        <v>148</v>
      </c>
      <c r="C64" s="199">
        <v>292.21263150000016</v>
      </c>
      <c r="D64" s="197">
        <v>292.21500000000003</v>
      </c>
      <c r="E64" s="198">
        <f t="shared" si="20"/>
        <v>2.3684999998749845E-3</v>
      </c>
      <c r="F64" s="199">
        <v>292.21263150000016</v>
      </c>
      <c r="G64" s="197">
        <v>150</v>
      </c>
      <c r="H64" s="198">
        <f t="shared" si="21"/>
        <v>-142.21263150000016</v>
      </c>
      <c r="I64" s="223">
        <f t="shared" si="22"/>
        <v>584.42526300000031</v>
      </c>
      <c r="J64" s="197">
        <f t="shared" si="22"/>
        <v>442.21500000000003</v>
      </c>
      <c r="K64" s="198">
        <f t="shared" si="23"/>
        <v>-142.21026300000028</v>
      </c>
    </row>
    <row r="65" spans="1:14" ht="20.25" x14ac:dyDescent="0.25">
      <c r="A65" s="184">
        <f t="shared" si="19"/>
        <v>4</v>
      </c>
      <c r="B65" s="185" t="s">
        <v>149</v>
      </c>
      <c r="C65" s="199">
        <v>116.3541164115003</v>
      </c>
      <c r="D65" s="197">
        <v>164.5</v>
      </c>
      <c r="E65" s="198">
        <f t="shared" si="20"/>
        <v>48.1458835884997</v>
      </c>
      <c r="F65" s="199">
        <v>116.3541164115003</v>
      </c>
      <c r="G65" s="197">
        <v>164.5</v>
      </c>
      <c r="H65" s="198">
        <f t="shared" si="21"/>
        <v>48.1458835884997</v>
      </c>
      <c r="I65" s="223">
        <f t="shared" si="22"/>
        <v>232.7082328230006</v>
      </c>
      <c r="J65" s="197">
        <f t="shared" si="22"/>
        <v>329</v>
      </c>
      <c r="K65" s="198">
        <f t="shared" si="23"/>
        <v>96.2917671769994</v>
      </c>
    </row>
    <row r="66" spans="1:14" ht="20.25" x14ac:dyDescent="0.25">
      <c r="A66" s="184">
        <f t="shared" si="19"/>
        <v>5</v>
      </c>
      <c r="B66" s="185" t="s">
        <v>150</v>
      </c>
      <c r="C66" s="199">
        <v>106.61547499500007</v>
      </c>
      <c r="D66" s="197">
        <v>100</v>
      </c>
      <c r="E66" s="198">
        <f t="shared" si="20"/>
        <v>-6.6154749950000706</v>
      </c>
      <c r="F66" s="199">
        <v>106.61547499500007</v>
      </c>
      <c r="G66" s="197">
        <v>50</v>
      </c>
      <c r="H66" s="198">
        <f t="shared" si="21"/>
        <v>-56.615474995000071</v>
      </c>
      <c r="I66" s="223">
        <f t="shared" si="22"/>
        <v>213.23094999000014</v>
      </c>
      <c r="J66" s="197">
        <f t="shared" si="22"/>
        <v>150</v>
      </c>
      <c r="K66" s="198">
        <f t="shared" si="23"/>
        <v>-63.230949990000141</v>
      </c>
    </row>
    <row r="67" spans="1:14" ht="20.25" x14ac:dyDescent="0.25">
      <c r="A67" s="184">
        <f t="shared" si="19"/>
        <v>6</v>
      </c>
      <c r="B67" s="185" t="s">
        <v>151</v>
      </c>
      <c r="C67" s="199">
        <v>127.6745631525001</v>
      </c>
      <c r="D67" s="197">
        <v>162</v>
      </c>
      <c r="E67" s="198">
        <f t="shared" si="20"/>
        <v>34.325436847499901</v>
      </c>
      <c r="F67" s="199">
        <v>127.6745631525001</v>
      </c>
      <c r="G67" s="197">
        <v>162</v>
      </c>
      <c r="H67" s="198">
        <f t="shared" si="21"/>
        <v>34.325436847499901</v>
      </c>
      <c r="I67" s="223">
        <f t="shared" si="22"/>
        <v>255.3491263050002</v>
      </c>
      <c r="J67" s="197">
        <f t="shared" si="22"/>
        <v>324</v>
      </c>
      <c r="K67" s="198">
        <f t="shared" si="23"/>
        <v>68.650873694999802</v>
      </c>
    </row>
    <row r="68" spans="1:14" ht="20.25" x14ac:dyDescent="0.25">
      <c r="A68" s="184">
        <f t="shared" si="19"/>
        <v>7</v>
      </c>
      <c r="B68" s="185" t="s">
        <v>152</v>
      </c>
      <c r="C68" s="199">
        <v>476.51763450000004</v>
      </c>
      <c r="D68" s="197">
        <v>406.51900000000001</v>
      </c>
      <c r="E68" s="198">
        <f t="shared" si="20"/>
        <v>-69.998634500000037</v>
      </c>
      <c r="F68" s="199">
        <v>476.51763450000004</v>
      </c>
      <c r="G68" s="197">
        <f>407-0.480999999999995</f>
        <v>406.51900000000001</v>
      </c>
      <c r="H68" s="198">
        <f t="shared" si="21"/>
        <v>-69.998634500000037</v>
      </c>
      <c r="I68" s="223">
        <f t="shared" si="22"/>
        <v>953.03526900000008</v>
      </c>
      <c r="J68" s="197">
        <f t="shared" si="22"/>
        <v>813.03800000000001</v>
      </c>
      <c r="K68" s="198">
        <f t="shared" si="23"/>
        <v>-139.99726900000007</v>
      </c>
    </row>
    <row r="69" spans="1:14" ht="20.25" x14ac:dyDescent="0.25">
      <c r="A69" s="184">
        <f t="shared" si="19"/>
        <v>8</v>
      </c>
      <c r="B69" s="185" t="s">
        <v>153</v>
      </c>
      <c r="C69" s="199">
        <v>250.99444650000035</v>
      </c>
      <c r="D69" s="197">
        <v>90</v>
      </c>
      <c r="E69" s="198">
        <f t="shared" si="20"/>
        <v>-160.99444650000035</v>
      </c>
      <c r="F69" s="199">
        <v>250.99444650000035</v>
      </c>
      <c r="G69" s="197">
        <f>90</f>
        <v>90</v>
      </c>
      <c r="H69" s="198">
        <f t="shared" si="21"/>
        <v>-160.99444650000035</v>
      </c>
      <c r="I69" s="223">
        <f t="shared" si="22"/>
        <v>501.9888930000007</v>
      </c>
      <c r="J69" s="197">
        <f t="shared" si="22"/>
        <v>180</v>
      </c>
      <c r="K69" s="198">
        <f t="shared" si="23"/>
        <v>-321.9888930000007</v>
      </c>
    </row>
    <row r="70" spans="1:14" ht="20.25" x14ac:dyDescent="0.25">
      <c r="A70" s="184">
        <f t="shared" si="19"/>
        <v>9</v>
      </c>
      <c r="B70" s="185" t="s">
        <v>154</v>
      </c>
      <c r="C70" s="199">
        <v>157.69647599999996</v>
      </c>
      <c r="D70" s="197">
        <v>153.97500000000002</v>
      </c>
      <c r="E70" s="198">
        <f t="shared" si="20"/>
        <v>-3.7214759999999387</v>
      </c>
      <c r="F70" s="199">
        <v>157.69647599999996</v>
      </c>
      <c r="G70" s="197">
        <v>153.97500000000002</v>
      </c>
      <c r="H70" s="198">
        <f t="shared" si="21"/>
        <v>-3.7214759999999387</v>
      </c>
      <c r="I70" s="223">
        <f t="shared" si="22"/>
        <v>315.39295199999992</v>
      </c>
      <c r="J70" s="197">
        <f t="shared" si="22"/>
        <v>307.95000000000005</v>
      </c>
      <c r="K70" s="198">
        <f t="shared" si="23"/>
        <v>-7.4429519999998774</v>
      </c>
    </row>
    <row r="71" spans="1:14" ht="20.25" x14ac:dyDescent="0.25">
      <c r="A71" s="184">
        <f t="shared" si="19"/>
        <v>10</v>
      </c>
      <c r="B71" s="185" t="s">
        <v>15</v>
      </c>
      <c r="C71" s="199">
        <v>159.58538399999978</v>
      </c>
      <c r="D71" s="197">
        <v>50</v>
      </c>
      <c r="E71" s="198">
        <f t="shared" si="20"/>
        <v>-109.58538399999978</v>
      </c>
      <c r="F71" s="199">
        <v>159.58538399999978</v>
      </c>
      <c r="G71" s="197">
        <f>46+60</f>
        <v>106</v>
      </c>
      <c r="H71" s="198">
        <f t="shared" si="21"/>
        <v>-53.585383999999777</v>
      </c>
      <c r="I71" s="223">
        <f t="shared" si="22"/>
        <v>319.17076799999955</v>
      </c>
      <c r="J71" s="197">
        <f t="shared" si="22"/>
        <v>156</v>
      </c>
      <c r="K71" s="198">
        <f t="shared" si="23"/>
        <v>-163.17076799999955</v>
      </c>
    </row>
    <row r="72" spans="1:14" ht="20.25" x14ac:dyDescent="0.25">
      <c r="A72" s="184">
        <f t="shared" si="19"/>
        <v>11</v>
      </c>
      <c r="B72" s="185" t="s">
        <v>155</v>
      </c>
      <c r="C72" s="199">
        <v>282.5872880549997</v>
      </c>
      <c r="D72" s="197">
        <v>250</v>
      </c>
      <c r="E72" s="198">
        <f t="shared" si="20"/>
        <v>-32.587288054999703</v>
      </c>
      <c r="F72" s="199">
        <v>282.5872880549997</v>
      </c>
      <c r="G72" s="197">
        <v>350</v>
      </c>
      <c r="H72" s="198">
        <f t="shared" si="21"/>
        <v>67.412711945000297</v>
      </c>
      <c r="I72" s="223">
        <f t="shared" si="22"/>
        <v>565.17457610999941</v>
      </c>
      <c r="J72" s="197">
        <f t="shared" si="22"/>
        <v>600</v>
      </c>
      <c r="K72" s="198">
        <f t="shared" si="23"/>
        <v>34.825423890000593</v>
      </c>
    </row>
    <row r="73" spans="1:14" ht="20.25" x14ac:dyDescent="0.25">
      <c r="A73" s="184">
        <f t="shared" si="19"/>
        <v>12</v>
      </c>
      <c r="B73" s="185" t="s">
        <v>156</v>
      </c>
      <c r="C73" s="199">
        <v>242.33340966599991</v>
      </c>
      <c r="D73" s="197">
        <v>242.4</v>
      </c>
      <c r="E73" s="210">
        <f t="shared" si="20"/>
        <v>6.6590334000096618E-2</v>
      </c>
      <c r="F73" s="199">
        <v>242.33340966599991</v>
      </c>
      <c r="G73" s="197">
        <v>242.40000000000009</v>
      </c>
      <c r="H73" s="198">
        <f t="shared" si="21"/>
        <v>6.6590334000181883E-2</v>
      </c>
      <c r="I73" s="223">
        <f t="shared" si="22"/>
        <v>484.66681933199982</v>
      </c>
      <c r="J73" s="197">
        <f t="shared" si="22"/>
        <v>484.80000000000007</v>
      </c>
      <c r="K73" s="198">
        <f t="shared" si="23"/>
        <v>0.13318066800025008</v>
      </c>
    </row>
    <row r="74" spans="1:14" ht="21" thickBot="1" x14ac:dyDescent="0.3">
      <c r="A74" s="206">
        <f t="shared" si="19"/>
        <v>13</v>
      </c>
      <c r="B74" s="207" t="s">
        <v>18</v>
      </c>
      <c r="C74" s="211">
        <v>203.91912000000011</v>
      </c>
      <c r="D74" s="209">
        <v>203.41999999999996</v>
      </c>
      <c r="E74" s="210">
        <f t="shared" si="20"/>
        <v>-0.499120000000147</v>
      </c>
      <c r="F74" s="211">
        <v>203.91912000000011</v>
      </c>
      <c r="G74" s="209">
        <v>203.92000000000002</v>
      </c>
      <c r="H74" s="210">
        <f t="shared" si="21"/>
        <v>8.7999999990984179E-4</v>
      </c>
      <c r="I74" s="224">
        <f t="shared" si="22"/>
        <v>407.83824000000021</v>
      </c>
      <c r="J74" s="209">
        <f t="shared" si="22"/>
        <v>407.34</v>
      </c>
      <c r="K74" s="210">
        <f t="shared" si="23"/>
        <v>-0.49824000000023716</v>
      </c>
    </row>
    <row r="75" spans="1:14" ht="21" thickBot="1" x14ac:dyDescent="0.3">
      <c r="A75" s="212"/>
      <c r="B75" s="213" t="s">
        <v>163</v>
      </c>
      <c r="C75" s="217">
        <f>SUM(C62:C74)</f>
        <v>3131.4491512800005</v>
      </c>
      <c r="D75" s="215">
        <f t="shared" ref="D75:K75" si="24">SUM(D62:D74)</f>
        <v>2585.2400000000002</v>
      </c>
      <c r="E75" s="216">
        <f t="shared" si="24"/>
        <v>-546.2091512799999</v>
      </c>
      <c r="F75" s="217">
        <f t="shared" si="24"/>
        <v>3131.4491512800005</v>
      </c>
      <c r="G75" s="215">
        <f t="shared" si="24"/>
        <v>2539.5250000000001</v>
      </c>
      <c r="H75" s="216">
        <f t="shared" si="24"/>
        <v>-591.92415127999982</v>
      </c>
      <c r="I75" s="226">
        <f t="shared" si="24"/>
        <v>6262.898302560001</v>
      </c>
      <c r="J75" s="215">
        <f t="shared" si="24"/>
        <v>5124.7650000000003</v>
      </c>
      <c r="K75" s="216">
        <f t="shared" si="24"/>
        <v>-1138.1333025599997</v>
      </c>
      <c r="N75" s="240"/>
    </row>
    <row r="76" spans="1:14" ht="19.5" thickBot="1" x14ac:dyDescent="0.35">
      <c r="B76" s="177" t="s">
        <v>178</v>
      </c>
    </row>
    <row r="77" spans="1:14" x14ac:dyDescent="0.25">
      <c r="A77" s="746" t="s">
        <v>138</v>
      </c>
      <c r="B77" s="748" t="s">
        <v>139</v>
      </c>
      <c r="C77" s="742" t="s">
        <v>140</v>
      </c>
      <c r="D77" s="743"/>
      <c r="E77" s="744"/>
      <c r="F77" s="742" t="s">
        <v>141</v>
      </c>
      <c r="G77" s="743"/>
      <c r="H77" s="744"/>
      <c r="I77" s="742" t="s">
        <v>142</v>
      </c>
      <c r="J77" s="743"/>
      <c r="K77" s="744"/>
    </row>
    <row r="78" spans="1:14" ht="36.75" thickBot="1" x14ac:dyDescent="0.3">
      <c r="A78" s="747"/>
      <c r="B78" s="749"/>
      <c r="C78" s="178" t="s">
        <v>143</v>
      </c>
      <c r="D78" s="178" t="s">
        <v>144</v>
      </c>
      <c r="E78" s="179" t="s">
        <v>145</v>
      </c>
      <c r="F78" s="178" t="s">
        <v>143</v>
      </c>
      <c r="G78" s="178" t="s">
        <v>144</v>
      </c>
      <c r="H78" s="179" t="s">
        <v>145</v>
      </c>
      <c r="I78" s="178" t="s">
        <v>143</v>
      </c>
      <c r="J78" s="178" t="s">
        <v>144</v>
      </c>
      <c r="K78" s="179" t="s">
        <v>145</v>
      </c>
    </row>
    <row r="79" spans="1:14" ht="19.5" thickBot="1" x14ac:dyDescent="0.3">
      <c r="A79" s="191" t="s">
        <v>160</v>
      </c>
      <c r="B79" s="192" t="s">
        <v>161</v>
      </c>
      <c r="C79" s="194">
        <v>1</v>
      </c>
      <c r="D79" s="194">
        <v>2</v>
      </c>
      <c r="E79" s="192">
        <v>3</v>
      </c>
      <c r="F79" s="191">
        <v>4</v>
      </c>
      <c r="G79" s="194">
        <v>5</v>
      </c>
      <c r="H79" s="192">
        <v>6</v>
      </c>
      <c r="I79" s="191">
        <v>7</v>
      </c>
      <c r="J79" s="194">
        <v>8</v>
      </c>
      <c r="K79" s="192">
        <v>9</v>
      </c>
    </row>
    <row r="80" spans="1:14" ht="18.75" x14ac:dyDescent="0.25">
      <c r="A80" s="739" t="s">
        <v>173</v>
      </c>
      <c r="B80" s="741"/>
      <c r="C80" s="232">
        <v>639.1</v>
      </c>
      <c r="D80" s="232">
        <v>639.1</v>
      </c>
      <c r="E80" s="233">
        <f>+D80-C80</f>
        <v>0</v>
      </c>
      <c r="F80" s="234"/>
      <c r="G80" s="232"/>
      <c r="H80" s="233"/>
      <c r="I80" s="235">
        <f>+F80+C80</f>
        <v>639.1</v>
      </c>
      <c r="J80" s="232">
        <f>+G80+D80</f>
        <v>639.1</v>
      </c>
      <c r="K80" s="233">
        <f>I80-J80</f>
        <v>0</v>
      </c>
    </row>
    <row r="81" spans="1:11" ht="20.25" x14ac:dyDescent="0.25">
      <c r="A81" s="184">
        <v>1</v>
      </c>
      <c r="B81" s="185" t="s">
        <v>162</v>
      </c>
      <c r="C81" s="199">
        <v>338.73040049999992</v>
      </c>
      <c r="D81" s="197">
        <v>335</v>
      </c>
      <c r="E81" s="198">
        <f>+D81-C81</f>
        <v>-3.7304004999999165</v>
      </c>
      <c r="F81" s="199">
        <v>338.73040049999992</v>
      </c>
      <c r="G81" s="197">
        <v>200</v>
      </c>
      <c r="H81" s="198">
        <f>+G81-F81</f>
        <v>-138.73040049999992</v>
      </c>
      <c r="I81" s="223">
        <f>+C81+F81</f>
        <v>677.46080099999983</v>
      </c>
      <c r="J81" s="197">
        <f>+D81+G81</f>
        <v>535</v>
      </c>
      <c r="K81" s="198">
        <f>+J81-I81</f>
        <v>-142.46080099999983</v>
      </c>
    </row>
    <row r="82" spans="1:11" ht="20.25" x14ac:dyDescent="0.25">
      <c r="A82" s="184">
        <f t="shared" ref="A82:A93" si="25">+A81+1</f>
        <v>2</v>
      </c>
      <c r="B82" s="185" t="s">
        <v>147</v>
      </c>
      <c r="C82" s="199">
        <v>312.04708499999998</v>
      </c>
      <c r="D82" s="197">
        <v>312.74999999999989</v>
      </c>
      <c r="E82" s="198">
        <f t="shared" ref="E82:E93" si="26">+D82-C82</f>
        <v>0.70291499999990492</v>
      </c>
      <c r="F82" s="199">
        <v>312.04708499999998</v>
      </c>
      <c r="G82" s="197">
        <v>308.05700000000002</v>
      </c>
      <c r="H82" s="198">
        <f t="shared" ref="H82:H93" si="27">+G82-F82</f>
        <v>-3.990084999999965</v>
      </c>
      <c r="I82" s="223">
        <f t="shared" ref="I82:J93" si="28">+C82+F82</f>
        <v>624.09416999999996</v>
      </c>
      <c r="J82" s="197">
        <f t="shared" si="28"/>
        <v>620.8069999999999</v>
      </c>
      <c r="K82" s="198">
        <f t="shared" ref="K82:K93" si="29">+J82-I82</f>
        <v>-3.2871700000000601</v>
      </c>
    </row>
    <row r="83" spans="1:11" ht="20.25" x14ac:dyDescent="0.25">
      <c r="A83" s="184">
        <f t="shared" si="25"/>
        <v>3</v>
      </c>
      <c r="B83" s="185" t="s">
        <v>148</v>
      </c>
      <c r="C83" s="199">
        <v>378.06848099999996</v>
      </c>
      <c r="D83" s="197">
        <v>380.89499999999998</v>
      </c>
      <c r="E83" s="198">
        <f t="shared" si="26"/>
        <v>2.8265190000000189</v>
      </c>
      <c r="F83" s="199">
        <v>378.06848099999996</v>
      </c>
      <c r="G83" s="197">
        <v>802.68499999999995</v>
      </c>
      <c r="H83" s="198">
        <f t="shared" si="27"/>
        <v>424.61651899999998</v>
      </c>
      <c r="I83" s="223">
        <f t="shared" si="28"/>
        <v>756.13696199999993</v>
      </c>
      <c r="J83" s="197">
        <f t="shared" si="28"/>
        <v>1183.58</v>
      </c>
      <c r="K83" s="198">
        <f t="shared" si="29"/>
        <v>427.443038</v>
      </c>
    </row>
    <row r="84" spans="1:11" ht="20.25" x14ac:dyDescent="0.25">
      <c r="A84" s="184">
        <f t="shared" si="25"/>
        <v>4</v>
      </c>
      <c r="B84" s="185" t="s">
        <v>149</v>
      </c>
      <c r="C84" s="199">
        <v>311.53025849999977</v>
      </c>
      <c r="D84" s="197">
        <v>316</v>
      </c>
      <c r="E84" s="198">
        <f t="shared" si="26"/>
        <v>4.4697415000002252</v>
      </c>
      <c r="F84" s="199">
        <v>311.53025849999977</v>
      </c>
      <c r="G84" s="197">
        <v>450</v>
      </c>
      <c r="H84" s="198">
        <f t="shared" si="27"/>
        <v>138.46974150000023</v>
      </c>
      <c r="I84" s="223">
        <f t="shared" si="28"/>
        <v>623.06051699999955</v>
      </c>
      <c r="J84" s="197">
        <f t="shared" si="28"/>
        <v>766</v>
      </c>
      <c r="K84" s="198">
        <f t="shared" si="29"/>
        <v>142.93948300000045</v>
      </c>
    </row>
    <row r="85" spans="1:11" ht="20.25" x14ac:dyDescent="0.25">
      <c r="A85" s="184">
        <f t="shared" si="25"/>
        <v>5</v>
      </c>
      <c r="B85" s="185" t="s">
        <v>150</v>
      </c>
      <c r="C85" s="199">
        <v>280.55181750000014</v>
      </c>
      <c r="D85" s="197">
        <f>100+129</f>
        <v>229</v>
      </c>
      <c r="E85" s="198">
        <f t="shared" si="26"/>
        <v>-51.551817500000141</v>
      </c>
      <c r="F85" s="199">
        <v>280.55181750000014</v>
      </c>
      <c r="G85" s="197">
        <v>100</v>
      </c>
      <c r="H85" s="198">
        <f t="shared" si="27"/>
        <v>-180.55181750000014</v>
      </c>
      <c r="I85" s="223">
        <f t="shared" si="28"/>
        <v>561.10363500000028</v>
      </c>
      <c r="J85" s="197">
        <f t="shared" si="28"/>
        <v>329</v>
      </c>
      <c r="K85" s="198">
        <f t="shared" si="29"/>
        <v>-232.10363500000028</v>
      </c>
    </row>
    <row r="86" spans="1:11" ht="20.25" x14ac:dyDescent="0.25">
      <c r="A86" s="184">
        <f t="shared" si="25"/>
        <v>6</v>
      </c>
      <c r="B86" s="185" t="s">
        <v>151</v>
      </c>
      <c r="C86" s="199">
        <v>345.85625249999998</v>
      </c>
      <c r="D86" s="197">
        <v>341</v>
      </c>
      <c r="E86" s="198">
        <f t="shared" si="26"/>
        <v>-4.8562524999999823</v>
      </c>
      <c r="F86" s="199">
        <v>345.85625249999998</v>
      </c>
      <c r="G86" s="197">
        <v>341</v>
      </c>
      <c r="H86" s="198">
        <f t="shared" si="27"/>
        <v>-4.8562524999999823</v>
      </c>
      <c r="I86" s="223">
        <f t="shared" si="28"/>
        <v>691.71250499999996</v>
      </c>
      <c r="J86" s="197">
        <f t="shared" si="28"/>
        <v>682</v>
      </c>
      <c r="K86" s="198">
        <f t="shared" si="29"/>
        <v>-9.7125049999999646</v>
      </c>
    </row>
    <row r="87" spans="1:11" ht="20.25" x14ac:dyDescent="0.25">
      <c r="A87" s="184">
        <f t="shared" si="25"/>
        <v>7</v>
      </c>
      <c r="B87" s="185" t="s">
        <v>152</v>
      </c>
      <c r="C87" s="199">
        <v>406.08737400000024</v>
      </c>
      <c r="D87" s="197">
        <v>406.09999999999991</v>
      </c>
      <c r="E87" s="198">
        <f t="shared" si="26"/>
        <v>1.2625999999670512E-2</v>
      </c>
      <c r="F87" s="199">
        <v>406.08737400000024</v>
      </c>
      <c r="G87" s="197">
        <v>1438.5205360000002</v>
      </c>
      <c r="H87" s="198">
        <f t="shared" si="27"/>
        <v>1032.433162</v>
      </c>
      <c r="I87" s="223">
        <f t="shared" si="28"/>
        <v>812.17474800000048</v>
      </c>
      <c r="J87" s="197">
        <f t="shared" si="28"/>
        <v>1844.6205360000001</v>
      </c>
      <c r="K87" s="198">
        <f t="shared" si="29"/>
        <v>1032.4457879999995</v>
      </c>
    </row>
    <row r="88" spans="1:11" ht="20.25" x14ac:dyDescent="0.25">
      <c r="A88" s="184">
        <f t="shared" si="25"/>
        <v>8</v>
      </c>
      <c r="B88" s="185" t="s">
        <v>153</v>
      </c>
      <c r="C88" s="199">
        <v>328.72742249999982</v>
      </c>
      <c r="D88" s="197">
        <v>250</v>
      </c>
      <c r="E88" s="198">
        <f t="shared" si="26"/>
        <v>-78.727422499999818</v>
      </c>
      <c r="F88" s="199">
        <v>328.72742249999982</v>
      </c>
      <c r="G88" s="197">
        <v>250</v>
      </c>
      <c r="H88" s="198">
        <f t="shared" si="27"/>
        <v>-78.727422499999818</v>
      </c>
      <c r="I88" s="223">
        <f t="shared" si="28"/>
        <v>657.45484499999964</v>
      </c>
      <c r="J88" s="197">
        <f t="shared" si="28"/>
        <v>500</v>
      </c>
      <c r="K88" s="198">
        <f t="shared" si="29"/>
        <v>-157.45484499999964</v>
      </c>
    </row>
    <row r="89" spans="1:11" ht="20.25" x14ac:dyDescent="0.25">
      <c r="A89" s="184">
        <f t="shared" si="25"/>
        <v>9</v>
      </c>
      <c r="B89" s="185" t="s">
        <v>154</v>
      </c>
      <c r="C89" s="199">
        <v>300.9092115000002</v>
      </c>
      <c r="D89" s="197">
        <v>300.99999999999989</v>
      </c>
      <c r="E89" s="198">
        <f t="shared" si="26"/>
        <v>9.078849999968952E-2</v>
      </c>
      <c r="F89" s="199">
        <v>300.9092115000002</v>
      </c>
      <c r="G89" s="197">
        <v>301</v>
      </c>
      <c r="H89" s="198">
        <f t="shared" si="27"/>
        <v>9.0788499999803207E-2</v>
      </c>
      <c r="I89" s="223">
        <f t="shared" si="28"/>
        <v>601.81842300000039</v>
      </c>
      <c r="J89" s="197">
        <f t="shared" si="28"/>
        <v>601.99999999999989</v>
      </c>
      <c r="K89" s="198">
        <f t="shared" si="29"/>
        <v>0.18157699999949273</v>
      </c>
    </row>
    <row r="90" spans="1:11" ht="20.25" x14ac:dyDescent="0.25">
      <c r="A90" s="184">
        <f t="shared" si="25"/>
        <v>10</v>
      </c>
      <c r="B90" s="185" t="s">
        <v>15</v>
      </c>
      <c r="C90" s="199">
        <v>309.26570850000013</v>
      </c>
      <c r="D90" s="197">
        <v>294</v>
      </c>
      <c r="E90" s="198">
        <f t="shared" si="26"/>
        <v>-15.26570850000013</v>
      </c>
      <c r="F90" s="199">
        <v>309.26570850000013</v>
      </c>
      <c r="G90" s="197">
        <v>300</v>
      </c>
      <c r="H90" s="198">
        <f t="shared" si="27"/>
        <v>-9.2657085000001302</v>
      </c>
      <c r="I90" s="223">
        <f t="shared" si="28"/>
        <v>618.53141700000026</v>
      </c>
      <c r="J90" s="197">
        <f t="shared" si="28"/>
        <v>594</v>
      </c>
      <c r="K90" s="198">
        <f t="shared" si="29"/>
        <v>-24.53141700000026</v>
      </c>
    </row>
    <row r="91" spans="1:11" ht="20.25" x14ac:dyDescent="0.25">
      <c r="A91" s="184">
        <f t="shared" si="25"/>
        <v>11</v>
      </c>
      <c r="B91" s="185" t="s">
        <v>155</v>
      </c>
      <c r="C91" s="199">
        <v>322.45697400000023</v>
      </c>
      <c r="D91" s="197">
        <v>322.5</v>
      </c>
      <c r="E91" s="198">
        <f t="shared" si="26"/>
        <v>4.3025999999770193E-2</v>
      </c>
      <c r="F91" s="199">
        <v>322.45697400000023</v>
      </c>
      <c r="G91" s="197">
        <v>322.5</v>
      </c>
      <c r="H91" s="198">
        <f t="shared" si="27"/>
        <v>4.3025999999770193E-2</v>
      </c>
      <c r="I91" s="223">
        <f t="shared" si="28"/>
        <v>644.91394800000046</v>
      </c>
      <c r="J91" s="197">
        <f t="shared" si="28"/>
        <v>645</v>
      </c>
      <c r="K91" s="198">
        <f t="shared" si="29"/>
        <v>8.6051999999540385E-2</v>
      </c>
    </row>
    <row r="92" spans="1:11" ht="20.25" x14ac:dyDescent="0.25">
      <c r="A92" s="184">
        <f t="shared" si="25"/>
        <v>12</v>
      </c>
      <c r="B92" s="185" t="s">
        <v>156</v>
      </c>
      <c r="C92" s="199">
        <v>315.59932950000007</v>
      </c>
      <c r="D92" s="197">
        <v>316.50000000000011</v>
      </c>
      <c r="E92" s="210">
        <f t="shared" si="26"/>
        <v>0.90067050000004656</v>
      </c>
      <c r="F92" s="199">
        <v>315.59932950000007</v>
      </c>
      <c r="G92" s="197">
        <v>316.5</v>
      </c>
      <c r="H92" s="198">
        <f t="shared" si="27"/>
        <v>0.90067049999993287</v>
      </c>
      <c r="I92" s="223">
        <f t="shared" si="28"/>
        <v>631.19865900000013</v>
      </c>
      <c r="J92" s="197">
        <f t="shared" si="28"/>
        <v>633.00000000000011</v>
      </c>
      <c r="K92" s="198">
        <f t="shared" si="29"/>
        <v>1.8013409999999794</v>
      </c>
    </row>
    <row r="93" spans="1:11" ht="21" thickBot="1" x14ac:dyDescent="0.3">
      <c r="A93" s="206">
        <f t="shared" si="25"/>
        <v>13</v>
      </c>
      <c r="B93" s="207" t="s">
        <v>18</v>
      </c>
      <c r="C93" s="211">
        <v>300.90951599999983</v>
      </c>
      <c r="D93" s="209">
        <v>300</v>
      </c>
      <c r="E93" s="210">
        <f t="shared" si="26"/>
        <v>-0.90951599999982591</v>
      </c>
      <c r="F93" s="211">
        <v>300.90951599999983</v>
      </c>
      <c r="G93" s="209">
        <v>99.999999999999943</v>
      </c>
      <c r="H93" s="210">
        <f t="shared" si="27"/>
        <v>-200.90951599999988</v>
      </c>
      <c r="I93" s="224">
        <f t="shared" si="28"/>
        <v>601.81903199999965</v>
      </c>
      <c r="J93" s="209">
        <f t="shared" si="28"/>
        <v>399.99999999999994</v>
      </c>
      <c r="K93" s="210">
        <f t="shared" si="29"/>
        <v>-201.81903199999971</v>
      </c>
    </row>
    <row r="94" spans="1:11" ht="21" thickBot="1" x14ac:dyDescent="0.3">
      <c r="A94" s="212"/>
      <c r="B94" s="213" t="s">
        <v>163</v>
      </c>
      <c r="C94" s="217">
        <f>SUM(C80:C93)</f>
        <v>4889.8398310000002</v>
      </c>
      <c r="D94" s="215">
        <f>SUM(D80:D93)</f>
        <v>4743.8449999999993</v>
      </c>
      <c r="E94" s="216">
        <f>SUM(E80:E93)</f>
        <v>-145.99483100000049</v>
      </c>
      <c r="F94" s="217">
        <f>SUM(F81:F93)</f>
        <v>4250.7398309999999</v>
      </c>
      <c r="G94" s="215">
        <f>SUM(G81:G93)</f>
        <v>5230.2625360000002</v>
      </c>
      <c r="H94" s="216">
        <f>SUM(H81:H93)</f>
        <v>979.52270499999986</v>
      </c>
      <c r="I94" s="226">
        <f>SUM(I80:I93)</f>
        <v>9140.5796620000001</v>
      </c>
      <c r="J94" s="215">
        <f>SUM(J80:J93)</f>
        <v>9974.1075359999995</v>
      </c>
      <c r="K94" s="216">
        <f>SUM(K80:K93)</f>
        <v>833.5278739999992</v>
      </c>
    </row>
  </sheetData>
  <mergeCells count="29">
    <mergeCell ref="I23:K23"/>
    <mergeCell ref="A1:K1"/>
    <mergeCell ref="A2:K2"/>
    <mergeCell ref="A4:A5"/>
    <mergeCell ref="B4:B5"/>
    <mergeCell ref="C4:E4"/>
    <mergeCell ref="F4:H4"/>
    <mergeCell ref="I4:K4"/>
    <mergeCell ref="A7:B7"/>
    <mergeCell ref="A23:A24"/>
    <mergeCell ref="B23:B24"/>
    <mergeCell ref="C23:E23"/>
    <mergeCell ref="F23:H23"/>
    <mergeCell ref="I77:K77"/>
    <mergeCell ref="A80:B80"/>
    <mergeCell ref="A41:A42"/>
    <mergeCell ref="B41:B42"/>
    <mergeCell ref="C41:E41"/>
    <mergeCell ref="F41:H41"/>
    <mergeCell ref="A77:A78"/>
    <mergeCell ref="B77:B78"/>
    <mergeCell ref="C77:E77"/>
    <mergeCell ref="F77:H77"/>
    <mergeCell ref="I41:K41"/>
    <mergeCell ref="A59:A60"/>
    <mergeCell ref="B59:B60"/>
    <mergeCell ref="C59:E59"/>
    <mergeCell ref="F59:H59"/>
    <mergeCell ref="I59:K59"/>
  </mergeCells>
  <printOptions horizontalCentered="1" verticalCentered="1"/>
  <pageMargins left="0" right="0" top="0" bottom="0" header="0" footer="0"/>
  <pageSetup paperSize="9" scale="41"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view="pageBreakPreview" zoomScale="60" zoomScaleNormal="100" workbookViewId="0">
      <selection activeCell="K40" sqref="K40"/>
    </sheetView>
  </sheetViews>
  <sheetFormatPr defaultRowHeight="18" x14ac:dyDescent="0.25"/>
  <cols>
    <col min="1" max="1" width="4.42578125" style="176" bestFit="1" customWidth="1"/>
    <col min="2" max="2" width="37.42578125" style="176" bestFit="1" customWidth="1"/>
    <col min="3" max="3" width="11.140625" style="176" customWidth="1"/>
    <col min="4" max="4" width="16.28515625" style="176" bestFit="1" customWidth="1"/>
    <col min="5" max="6" width="11.140625" style="176" customWidth="1"/>
    <col min="7" max="7" width="16.28515625" style="176" bestFit="1" customWidth="1"/>
    <col min="8" max="8" width="11.140625" style="176" customWidth="1"/>
    <col min="9" max="9" width="9.140625" style="176"/>
    <col min="10" max="10" width="20.140625" style="176" hidden="1" customWidth="1"/>
    <col min="11" max="11" width="9.140625" style="176"/>
    <col min="12" max="12" width="26.140625" style="176" bestFit="1" customWidth="1"/>
    <col min="13" max="13" width="16.28515625" style="176" bestFit="1" customWidth="1"/>
    <col min="14" max="14" width="9.140625" style="176"/>
    <col min="15" max="15" width="50.42578125" style="176" bestFit="1" customWidth="1"/>
    <col min="16" max="16" width="10.7109375" style="176" bestFit="1" customWidth="1"/>
    <col min="17" max="17" width="22" style="176" bestFit="1" customWidth="1"/>
    <col min="18" max="16384" width="9.140625" style="176"/>
  </cols>
  <sheetData>
    <row r="1" spans="1:18" ht="23.25" x14ac:dyDescent="0.25">
      <c r="A1" s="658" t="s">
        <v>157</v>
      </c>
      <c r="B1" s="658"/>
      <c r="C1" s="658"/>
      <c r="D1" s="658"/>
      <c r="E1" s="658"/>
      <c r="F1" s="658"/>
      <c r="G1" s="658"/>
      <c r="H1" s="658"/>
    </row>
    <row r="2" spans="1:18" ht="23.25" x14ac:dyDescent="0.25">
      <c r="A2" s="658" t="s">
        <v>19</v>
      </c>
      <c r="B2" s="658"/>
      <c r="C2" s="658"/>
      <c r="D2" s="658"/>
      <c r="E2" s="658"/>
      <c r="F2" s="658"/>
      <c r="G2" s="658"/>
      <c r="H2" s="658"/>
    </row>
    <row r="3" spans="1:18" ht="19.5" thickBot="1" x14ac:dyDescent="0.35">
      <c r="B3" s="189" t="s">
        <v>158</v>
      </c>
      <c r="E3" s="190"/>
      <c r="G3" s="750" t="s">
        <v>159</v>
      </c>
      <c r="H3" s="750"/>
    </row>
    <row r="4" spans="1:18" x14ac:dyDescent="0.25">
      <c r="A4" s="746" t="s">
        <v>138</v>
      </c>
      <c r="B4" s="748" t="s">
        <v>139</v>
      </c>
      <c r="C4" s="743" t="s">
        <v>140</v>
      </c>
      <c r="D4" s="743"/>
      <c r="E4" s="744"/>
      <c r="F4" s="742" t="s">
        <v>141</v>
      </c>
      <c r="G4" s="743"/>
      <c r="H4" s="744"/>
    </row>
    <row r="5" spans="1:18" ht="36.75" thickBot="1" x14ac:dyDescent="0.3">
      <c r="A5" s="747"/>
      <c r="B5" s="749"/>
      <c r="C5" s="180" t="s">
        <v>143</v>
      </c>
      <c r="D5" s="178" t="s">
        <v>144</v>
      </c>
      <c r="E5" s="179" t="s">
        <v>145</v>
      </c>
      <c r="F5" s="178" t="s">
        <v>143</v>
      </c>
      <c r="G5" s="178" t="s">
        <v>144</v>
      </c>
      <c r="H5" s="179" t="s">
        <v>145</v>
      </c>
    </row>
    <row r="6" spans="1:18" ht="19.5" thickBot="1" x14ac:dyDescent="0.3">
      <c r="A6" s="191" t="s">
        <v>160</v>
      </c>
      <c r="B6" s="192" t="s">
        <v>161</v>
      </c>
      <c r="C6" s="193">
        <v>4</v>
      </c>
      <c r="D6" s="194">
        <v>5</v>
      </c>
      <c r="E6" s="192">
        <v>6</v>
      </c>
      <c r="F6" s="191">
        <v>7</v>
      </c>
      <c r="G6" s="194">
        <v>8</v>
      </c>
      <c r="H6" s="192">
        <v>9</v>
      </c>
      <c r="J6" s="195">
        <v>20936</v>
      </c>
    </row>
    <row r="7" spans="1:18" ht="20.25" x14ac:dyDescent="0.25">
      <c r="A7" s="184">
        <v>1</v>
      </c>
      <c r="B7" s="185" t="s">
        <v>162</v>
      </c>
      <c r="C7" s="196">
        <v>568</v>
      </c>
      <c r="D7" s="197">
        <v>568</v>
      </c>
      <c r="E7" s="198">
        <v>0</v>
      </c>
      <c r="F7" s="199">
        <v>418</v>
      </c>
      <c r="G7" s="197">
        <v>418</v>
      </c>
      <c r="H7" s="198">
        <f>+G7-F7</f>
        <v>0</v>
      </c>
      <c r="J7" s="195">
        <v>2892.9571700000015</v>
      </c>
      <c r="K7" s="200"/>
      <c r="L7" s="201"/>
      <c r="M7" s="202"/>
      <c r="N7" s="200"/>
      <c r="O7" s="203"/>
      <c r="P7" s="200"/>
      <c r="R7" s="200"/>
    </row>
    <row r="8" spans="1:18" ht="20.25" x14ac:dyDescent="0.25">
      <c r="A8" s="184">
        <f t="shared" ref="A8:A19" si="0">+A7+1</f>
        <v>2</v>
      </c>
      <c r="B8" s="185" t="s">
        <v>147</v>
      </c>
      <c r="C8" s="196">
        <v>381</v>
      </c>
      <c r="D8" s="197">
        <v>381</v>
      </c>
      <c r="E8" s="198">
        <v>0</v>
      </c>
      <c r="F8" s="199">
        <v>282</v>
      </c>
      <c r="G8" s="197">
        <v>282</v>
      </c>
      <c r="H8" s="198">
        <f t="shared" ref="H8:H19" si="1">+G8-F8</f>
        <v>0</v>
      </c>
      <c r="J8" s="195">
        <v>2616.6999999999998</v>
      </c>
      <c r="K8" s="200"/>
      <c r="L8" s="201"/>
      <c r="M8" s="202"/>
      <c r="N8" s="200"/>
      <c r="O8" s="204"/>
      <c r="P8" s="200"/>
      <c r="R8" s="200"/>
    </row>
    <row r="9" spans="1:18" ht="20.25" x14ac:dyDescent="0.25">
      <c r="A9" s="184">
        <f t="shared" si="0"/>
        <v>3</v>
      </c>
      <c r="B9" s="185" t="s">
        <v>148</v>
      </c>
      <c r="C9" s="196">
        <v>168</v>
      </c>
      <c r="D9" s="197">
        <v>168</v>
      </c>
      <c r="E9" s="198">
        <v>0</v>
      </c>
      <c r="F9" s="199">
        <v>100</v>
      </c>
      <c r="G9" s="197">
        <v>100</v>
      </c>
      <c r="H9" s="198">
        <f t="shared" si="1"/>
        <v>0</v>
      </c>
      <c r="J9" s="195">
        <v>841.3</v>
      </c>
      <c r="K9" s="200"/>
      <c r="L9" s="201"/>
      <c r="M9" s="202"/>
      <c r="N9" s="200"/>
      <c r="O9" s="203"/>
      <c r="P9" s="200"/>
      <c r="R9" s="200"/>
    </row>
    <row r="10" spans="1:18" ht="20.25" x14ac:dyDescent="0.25">
      <c r="A10" s="184">
        <f t="shared" si="0"/>
        <v>4</v>
      </c>
      <c r="B10" s="185" t="s">
        <v>149</v>
      </c>
      <c r="C10" s="196">
        <v>260</v>
      </c>
      <c r="D10" s="197">
        <v>260</v>
      </c>
      <c r="E10" s="198">
        <v>0</v>
      </c>
      <c r="F10" s="199">
        <v>360</v>
      </c>
      <c r="G10" s="197">
        <v>360</v>
      </c>
      <c r="H10" s="198">
        <f t="shared" si="1"/>
        <v>0</v>
      </c>
      <c r="J10" s="195">
        <v>1306.9000000000001</v>
      </c>
      <c r="K10" s="200"/>
      <c r="L10" s="201"/>
      <c r="M10" s="202"/>
      <c r="N10" s="200"/>
      <c r="O10" s="203"/>
      <c r="P10" s="200"/>
      <c r="R10" s="200"/>
    </row>
    <row r="11" spans="1:18" ht="20.25" x14ac:dyDescent="0.25">
      <c r="A11" s="184">
        <f t="shared" si="0"/>
        <v>5</v>
      </c>
      <c r="B11" s="185" t="s">
        <v>150</v>
      </c>
      <c r="C11" s="196">
        <v>737</v>
      </c>
      <c r="D11" s="197">
        <v>737</v>
      </c>
      <c r="E11" s="198">
        <v>0</v>
      </c>
      <c r="F11" s="199">
        <v>387</v>
      </c>
      <c r="G11" s="197">
        <v>387</v>
      </c>
      <c r="H11" s="198">
        <f t="shared" si="1"/>
        <v>0</v>
      </c>
      <c r="J11" s="195">
        <v>964</v>
      </c>
      <c r="K11" s="200"/>
      <c r="L11" s="201"/>
      <c r="M11" s="202"/>
      <c r="N11" s="200"/>
      <c r="O11" s="203"/>
      <c r="P11" s="200"/>
      <c r="R11" s="200"/>
    </row>
    <row r="12" spans="1:18" ht="20.25" x14ac:dyDescent="0.25">
      <c r="A12" s="184">
        <f t="shared" si="0"/>
        <v>6</v>
      </c>
      <c r="B12" s="185" t="s">
        <v>151</v>
      </c>
      <c r="C12" s="196">
        <v>100</v>
      </c>
      <c r="D12" s="197">
        <v>100</v>
      </c>
      <c r="E12" s="198">
        <v>0</v>
      </c>
      <c r="F12" s="199">
        <v>522</v>
      </c>
      <c r="G12" s="197">
        <v>522</v>
      </c>
      <c r="H12" s="198">
        <f t="shared" si="1"/>
        <v>0</v>
      </c>
      <c r="J12" s="195">
        <v>1207.9000000000001</v>
      </c>
      <c r="K12" s="200"/>
      <c r="L12" s="201"/>
      <c r="M12" s="202"/>
      <c r="N12" s="200"/>
      <c r="O12" s="203"/>
      <c r="P12" s="200"/>
      <c r="R12" s="200"/>
    </row>
    <row r="13" spans="1:18" ht="20.25" x14ac:dyDescent="0.25">
      <c r="A13" s="184">
        <f t="shared" si="0"/>
        <v>7</v>
      </c>
      <c r="B13" s="185" t="s">
        <v>152</v>
      </c>
      <c r="C13" s="196">
        <v>364</v>
      </c>
      <c r="D13" s="197">
        <v>364</v>
      </c>
      <c r="E13" s="198">
        <v>0</v>
      </c>
      <c r="F13" s="199">
        <v>314</v>
      </c>
      <c r="G13" s="197">
        <v>314</v>
      </c>
      <c r="H13" s="198">
        <f t="shared" si="1"/>
        <v>0</v>
      </c>
      <c r="J13" s="195">
        <v>1902.7</v>
      </c>
      <c r="K13" s="200"/>
      <c r="L13" s="201"/>
      <c r="M13" s="202"/>
      <c r="N13" s="200"/>
      <c r="O13" s="203"/>
      <c r="P13" s="200"/>
      <c r="Q13" s="205"/>
      <c r="R13" s="200"/>
    </row>
    <row r="14" spans="1:18" ht="20.25" x14ac:dyDescent="0.25">
      <c r="A14" s="184">
        <f t="shared" si="0"/>
        <v>8</v>
      </c>
      <c r="B14" s="185" t="s">
        <v>153</v>
      </c>
      <c r="C14" s="196">
        <v>314</v>
      </c>
      <c r="D14" s="197">
        <v>314</v>
      </c>
      <c r="E14" s="198">
        <v>0</v>
      </c>
      <c r="F14" s="199">
        <v>314</v>
      </c>
      <c r="G14" s="197">
        <v>314</v>
      </c>
      <c r="H14" s="198">
        <f t="shared" si="1"/>
        <v>0</v>
      </c>
      <c r="J14" s="195">
        <v>1247.0999999999999</v>
      </c>
      <c r="K14" s="200"/>
      <c r="L14" s="201"/>
      <c r="M14" s="202"/>
      <c r="N14" s="200"/>
      <c r="O14" s="203"/>
      <c r="P14" s="200"/>
      <c r="R14" s="200"/>
    </row>
    <row r="15" spans="1:18" ht="20.25" x14ac:dyDescent="0.25">
      <c r="A15" s="184">
        <f t="shared" si="0"/>
        <v>9</v>
      </c>
      <c r="B15" s="185" t="s">
        <v>154</v>
      </c>
      <c r="C15" s="196">
        <v>228</v>
      </c>
      <c r="D15" s="197">
        <v>228</v>
      </c>
      <c r="E15" s="198">
        <v>0</v>
      </c>
      <c r="F15" s="199">
        <v>328</v>
      </c>
      <c r="G15" s="197">
        <v>328</v>
      </c>
      <c r="H15" s="198">
        <f t="shared" si="1"/>
        <v>0</v>
      </c>
      <c r="J15" s="195">
        <v>321</v>
      </c>
      <c r="K15" s="200"/>
      <c r="L15" s="201"/>
      <c r="M15" s="202"/>
      <c r="N15" s="200"/>
      <c r="O15" s="203"/>
      <c r="P15" s="200"/>
      <c r="R15" s="200"/>
    </row>
    <row r="16" spans="1:18" ht="20.25" x14ac:dyDescent="0.25">
      <c r="A16" s="184">
        <f t="shared" si="0"/>
        <v>10</v>
      </c>
      <c r="B16" s="185" t="s">
        <v>15</v>
      </c>
      <c r="C16" s="196">
        <v>189</v>
      </c>
      <c r="D16" s="197">
        <v>189</v>
      </c>
      <c r="E16" s="198">
        <v>0</v>
      </c>
      <c r="F16" s="199">
        <v>189</v>
      </c>
      <c r="G16" s="197">
        <v>189</v>
      </c>
      <c r="H16" s="198">
        <f t="shared" si="1"/>
        <v>0</v>
      </c>
      <c r="J16" s="195">
        <v>745.3</v>
      </c>
      <c r="K16" s="200"/>
      <c r="L16" s="201"/>
      <c r="M16" s="202"/>
      <c r="N16" s="200"/>
      <c r="O16" s="203"/>
      <c r="P16" s="200"/>
      <c r="R16" s="200"/>
    </row>
    <row r="17" spans="1:18" ht="20.25" x14ac:dyDescent="0.25">
      <c r="A17" s="184">
        <f t="shared" si="0"/>
        <v>11</v>
      </c>
      <c r="B17" s="185" t="s">
        <v>155</v>
      </c>
      <c r="C17" s="196">
        <v>230</v>
      </c>
      <c r="D17" s="197">
        <v>230</v>
      </c>
      <c r="E17" s="198">
        <v>0</v>
      </c>
      <c r="F17" s="199">
        <v>280</v>
      </c>
      <c r="G17" s="197">
        <v>280</v>
      </c>
      <c r="H17" s="198">
        <f t="shared" si="1"/>
        <v>0</v>
      </c>
      <c r="J17" s="195">
        <v>590.1</v>
      </c>
      <c r="K17" s="200"/>
      <c r="L17" s="201"/>
      <c r="M17" s="202"/>
      <c r="N17" s="200"/>
      <c r="O17" s="203"/>
      <c r="P17" s="200"/>
      <c r="R17" s="200"/>
    </row>
    <row r="18" spans="1:18" ht="20.25" x14ac:dyDescent="0.25">
      <c r="A18" s="184">
        <f t="shared" si="0"/>
        <v>12</v>
      </c>
      <c r="B18" s="185" t="s">
        <v>156</v>
      </c>
      <c r="C18" s="196">
        <v>336</v>
      </c>
      <c r="D18" s="197">
        <v>336</v>
      </c>
      <c r="E18" s="198">
        <v>0</v>
      </c>
      <c r="F18" s="199">
        <v>335</v>
      </c>
      <c r="G18" s="197">
        <v>335</v>
      </c>
      <c r="H18" s="198">
        <f t="shared" si="1"/>
        <v>0</v>
      </c>
      <c r="J18" s="195">
        <v>766</v>
      </c>
      <c r="K18" s="200"/>
      <c r="L18" s="201"/>
      <c r="M18" s="202"/>
      <c r="N18" s="200"/>
      <c r="O18" s="203"/>
      <c r="P18" s="200"/>
      <c r="R18" s="200"/>
    </row>
    <row r="19" spans="1:18" ht="21" thickBot="1" x14ac:dyDescent="0.3">
      <c r="A19" s="206">
        <f t="shared" si="0"/>
        <v>13</v>
      </c>
      <c r="B19" s="207" t="s">
        <v>18</v>
      </c>
      <c r="C19" s="208">
        <v>198</v>
      </c>
      <c r="D19" s="209">
        <v>198</v>
      </c>
      <c r="E19" s="210">
        <v>0</v>
      </c>
      <c r="F19" s="211">
        <v>198</v>
      </c>
      <c r="G19" s="209">
        <v>198</v>
      </c>
      <c r="H19" s="210">
        <f t="shared" si="1"/>
        <v>0</v>
      </c>
      <c r="J19" s="195">
        <v>489.1</v>
      </c>
      <c r="K19" s="200"/>
      <c r="L19" s="201"/>
      <c r="M19" s="202"/>
      <c r="N19" s="200"/>
      <c r="O19" s="203"/>
      <c r="P19" s="200"/>
      <c r="R19" s="200"/>
    </row>
    <row r="20" spans="1:18" s="218" customFormat="1" ht="21" thickBot="1" x14ac:dyDescent="0.3">
      <c r="A20" s="212"/>
      <c r="B20" s="213" t="s">
        <v>163</v>
      </c>
      <c r="C20" s="214">
        <f t="shared" ref="C20:H20" si="2">SUM(C7:C19)</f>
        <v>4073</v>
      </c>
      <c r="D20" s="215">
        <f t="shared" si="2"/>
        <v>4073</v>
      </c>
      <c r="E20" s="216">
        <f t="shared" si="2"/>
        <v>0</v>
      </c>
      <c r="F20" s="217">
        <f t="shared" si="2"/>
        <v>4027</v>
      </c>
      <c r="G20" s="215">
        <f t="shared" si="2"/>
        <v>4027</v>
      </c>
      <c r="H20" s="216">
        <f t="shared" si="2"/>
        <v>0</v>
      </c>
      <c r="J20" s="219">
        <f>SUM(J6:J19)</f>
        <v>36827.057170000007</v>
      </c>
      <c r="L20" s="220"/>
    </row>
  </sheetData>
  <mergeCells count="7">
    <mergeCell ref="A1:H1"/>
    <mergeCell ref="A2:H2"/>
    <mergeCell ref="G3:H3"/>
    <mergeCell ref="A4:A5"/>
    <mergeCell ref="B4:B5"/>
    <mergeCell ref="C4:E4"/>
    <mergeCell ref="F4:H4"/>
  </mergeCells>
  <pageMargins left="0.7" right="0.7" top="0.75" bottom="0.75" header="0.3" footer="0.3"/>
  <pageSetup paperSize="9" scale="73"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
  <sheetViews>
    <sheetView view="pageBreakPreview" zoomScale="60" workbookViewId="0">
      <selection activeCell="H9" sqref="H9"/>
    </sheetView>
  </sheetViews>
  <sheetFormatPr defaultRowHeight="18.75" outlineLevelCol="1" x14ac:dyDescent="0.25"/>
  <cols>
    <col min="1" max="1" width="6.140625" style="34" customWidth="1"/>
    <col min="2" max="2" width="32.140625" style="34" customWidth="1"/>
    <col min="3" max="4" width="23" style="34" customWidth="1"/>
    <col min="5" max="8" width="23" style="34" customWidth="1" outlineLevel="1"/>
    <col min="9" max="12" width="23" style="34" customWidth="1"/>
    <col min="13" max="16" width="23" style="34" customWidth="1" outlineLevel="1"/>
    <col min="17" max="18" width="23" style="34" customWidth="1"/>
    <col min="19" max="19" width="17.85546875" style="34" customWidth="1"/>
    <col min="20" max="20" width="16.28515625" style="27" hidden="1" customWidth="1"/>
    <col min="21" max="21" width="17.28515625" style="27" hidden="1" customWidth="1"/>
    <col min="22" max="22" width="17.85546875" style="34" hidden="1" customWidth="1"/>
    <col min="23" max="23" width="17.85546875" style="34" customWidth="1"/>
    <col min="24" max="24" width="21" style="34" bestFit="1" customWidth="1"/>
    <col min="25" max="25" width="14.42578125" style="34" bestFit="1" customWidth="1"/>
    <col min="26" max="26" width="20.42578125" style="34" bestFit="1" customWidth="1"/>
    <col min="27" max="27" width="12.28515625" style="34" bestFit="1" customWidth="1"/>
    <col min="28" max="28" width="12.140625" style="34" hidden="1" customWidth="1"/>
    <col min="29" max="29" width="13" style="34" bestFit="1" customWidth="1"/>
    <col min="30" max="16384" width="9.140625" style="34"/>
  </cols>
  <sheetData>
    <row r="1" spans="1:29" ht="60" customHeight="1" x14ac:dyDescent="0.25">
      <c r="A1" s="616" t="s">
        <v>115</v>
      </c>
      <c r="B1" s="616"/>
      <c r="C1" s="616"/>
      <c r="D1" s="616"/>
      <c r="E1" s="616"/>
      <c r="F1" s="616"/>
      <c r="G1" s="616"/>
      <c r="H1" s="616"/>
      <c r="I1" s="616"/>
      <c r="J1" s="616"/>
      <c r="K1" s="616"/>
      <c r="L1" s="616"/>
      <c r="M1" s="616"/>
      <c r="N1" s="616"/>
      <c r="O1" s="616"/>
      <c r="P1" s="616"/>
      <c r="Q1" s="616"/>
      <c r="R1" s="616"/>
      <c r="S1" s="23"/>
      <c r="T1" s="24"/>
      <c r="U1" s="24"/>
    </row>
    <row r="2" spans="1:29" ht="23.25" customHeight="1" x14ac:dyDescent="0.25">
      <c r="A2" s="23"/>
      <c r="B2" s="617" t="s">
        <v>19</v>
      </c>
      <c r="C2" s="617"/>
      <c r="D2" s="617"/>
      <c r="E2" s="617"/>
      <c r="F2" s="617"/>
      <c r="G2" s="617"/>
      <c r="H2" s="617"/>
      <c r="I2" s="617"/>
      <c r="J2" s="617"/>
      <c r="K2" s="617"/>
      <c r="L2" s="617"/>
      <c r="M2" s="617"/>
      <c r="N2" s="617"/>
      <c r="O2" s="617"/>
      <c r="P2" s="617"/>
      <c r="Q2" s="617"/>
      <c r="R2" s="617"/>
      <c r="S2" s="23"/>
      <c r="T2" s="24"/>
      <c r="U2" s="24"/>
    </row>
    <row r="3" spans="1:29" ht="20.25" thickBot="1" x14ac:dyDescent="0.3">
      <c r="A3" s="618" t="s">
        <v>136</v>
      </c>
      <c r="B3" s="618"/>
      <c r="C3" s="25"/>
      <c r="J3" s="26"/>
      <c r="Q3" s="618" t="s">
        <v>59</v>
      </c>
      <c r="R3" s="618"/>
    </row>
    <row r="4" spans="1:29" ht="31.5" customHeight="1" x14ac:dyDescent="0.25">
      <c r="A4" s="619" t="s">
        <v>0</v>
      </c>
      <c r="B4" s="622" t="s">
        <v>4</v>
      </c>
      <c r="C4" s="619" t="s">
        <v>2</v>
      </c>
      <c r="D4" s="623"/>
      <c r="E4" s="623"/>
      <c r="F4" s="623"/>
      <c r="G4" s="623"/>
      <c r="H4" s="623"/>
      <c r="I4" s="623"/>
      <c r="J4" s="622"/>
      <c r="K4" s="619" t="s">
        <v>1</v>
      </c>
      <c r="L4" s="623"/>
      <c r="M4" s="623"/>
      <c r="N4" s="623"/>
      <c r="O4" s="623"/>
      <c r="P4" s="623"/>
      <c r="Q4" s="623"/>
      <c r="R4" s="622"/>
    </row>
    <row r="5" spans="1:29" ht="25.5" customHeight="1" x14ac:dyDescent="0.25">
      <c r="A5" s="620"/>
      <c r="B5" s="612"/>
      <c r="C5" s="614" t="s">
        <v>126</v>
      </c>
      <c r="D5" s="610" t="s">
        <v>66</v>
      </c>
      <c r="E5" s="608" t="s">
        <v>128</v>
      </c>
      <c r="F5" s="609"/>
      <c r="G5" s="609"/>
      <c r="H5" s="629"/>
      <c r="I5" s="630" t="s">
        <v>65</v>
      </c>
      <c r="J5" s="632" t="s">
        <v>135</v>
      </c>
      <c r="K5" s="614" t="s">
        <v>126</v>
      </c>
      <c r="L5" s="610" t="s">
        <v>66</v>
      </c>
      <c r="M5" s="608" t="s">
        <v>128</v>
      </c>
      <c r="N5" s="609"/>
      <c r="O5" s="609"/>
      <c r="P5" s="629"/>
      <c r="Q5" s="630" t="s">
        <v>65</v>
      </c>
      <c r="R5" s="632" t="s">
        <v>135</v>
      </c>
      <c r="T5" s="624" t="s">
        <v>58</v>
      </c>
      <c r="U5" s="624"/>
    </row>
    <row r="6" spans="1:29" ht="75" customHeight="1" thickBot="1" x14ac:dyDescent="0.3">
      <c r="A6" s="621"/>
      <c r="B6" s="613"/>
      <c r="C6" s="615"/>
      <c r="D6" s="611"/>
      <c r="E6" s="125" t="s">
        <v>68</v>
      </c>
      <c r="F6" s="125" t="s">
        <v>63</v>
      </c>
      <c r="G6" s="125" t="s">
        <v>67</v>
      </c>
      <c r="H6" s="125" t="s">
        <v>64</v>
      </c>
      <c r="I6" s="631"/>
      <c r="J6" s="633"/>
      <c r="K6" s="615"/>
      <c r="L6" s="611"/>
      <c r="M6" s="125" t="s">
        <v>68</v>
      </c>
      <c r="N6" s="125" t="s">
        <v>63</v>
      </c>
      <c r="O6" s="125" t="s">
        <v>67</v>
      </c>
      <c r="P6" s="125" t="s">
        <v>64</v>
      </c>
      <c r="Q6" s="631"/>
      <c r="R6" s="633"/>
      <c r="T6" s="28" t="s">
        <v>56</v>
      </c>
      <c r="U6" s="28" t="s">
        <v>57</v>
      </c>
      <c r="AB6" s="34" t="s">
        <v>112</v>
      </c>
    </row>
    <row r="7" spans="1:29" ht="39.75" customHeight="1" thickBot="1" x14ac:dyDescent="0.3">
      <c r="A7" s="606" t="s">
        <v>3</v>
      </c>
      <c r="B7" s="607"/>
      <c r="C7" s="75">
        <f>+C8+C9+C10+C11+C12+C13+C14+C15+C16+C17+C18+C19+C20+C21</f>
        <v>1729.59489564</v>
      </c>
      <c r="D7" s="76">
        <f t="shared" ref="D7:R7" si="0">+D8+D9+D10+D11+D12+D13+D14+D15+D16+D17+D18+D19+D20+D21</f>
        <v>25215.070388259999</v>
      </c>
      <c r="E7" s="76">
        <f t="shared" si="0"/>
        <v>16314.257599999999</v>
      </c>
      <c r="F7" s="76">
        <f t="shared" si="0"/>
        <v>8866.6989002200007</v>
      </c>
      <c r="G7" s="76">
        <f t="shared" si="0"/>
        <v>0</v>
      </c>
      <c r="H7" s="76">
        <f t="shared" si="0"/>
        <v>34.113888039999999</v>
      </c>
      <c r="I7" s="76">
        <f t="shared" si="0"/>
        <v>25579.626739150004</v>
      </c>
      <c r="J7" s="78">
        <f t="shared" si="0"/>
        <v>1365.0385447500003</v>
      </c>
      <c r="K7" s="75">
        <f t="shared" si="0"/>
        <v>3841.4835827299994</v>
      </c>
      <c r="L7" s="76">
        <f t="shared" si="0"/>
        <v>22263.903470750003</v>
      </c>
      <c r="M7" s="76">
        <f t="shared" si="0"/>
        <v>13164.783136000002</v>
      </c>
      <c r="N7" s="76">
        <f t="shared" si="0"/>
        <v>8920.7653509299998</v>
      </c>
      <c r="O7" s="76">
        <f t="shared" si="0"/>
        <v>0</v>
      </c>
      <c r="P7" s="76">
        <f t="shared" si="0"/>
        <v>178.35498381999997</v>
      </c>
      <c r="Q7" s="76">
        <f t="shared" si="0"/>
        <v>24130.508668459999</v>
      </c>
      <c r="R7" s="78">
        <f t="shared" si="0"/>
        <v>1974.8783850200002</v>
      </c>
      <c r="T7" s="29">
        <f>SUM(T9:T20)</f>
        <v>0</v>
      </c>
      <c r="U7" s="29">
        <f>SUM(U9:U20)</f>
        <v>0</v>
      </c>
      <c r="V7" s="26"/>
      <c r="X7" s="151"/>
      <c r="Y7" s="26"/>
      <c r="AC7" s="26"/>
    </row>
    <row r="8" spans="1:29" s="32" customFormat="1" ht="39.75" customHeight="1" x14ac:dyDescent="0.25">
      <c r="A8" s="19">
        <v>1</v>
      </c>
      <c r="B8" s="20" t="s">
        <v>127</v>
      </c>
      <c r="C8" s="84"/>
      <c r="D8" s="85">
        <f>+E8+F8+G8+H8</f>
        <v>639.1</v>
      </c>
      <c r="E8" s="90">
        <v>639.1</v>
      </c>
      <c r="F8" s="90"/>
      <c r="G8" s="90"/>
      <c r="H8" s="90"/>
      <c r="I8" s="90">
        <v>490.96175400000004</v>
      </c>
      <c r="J8" s="88">
        <f t="shared" ref="J8:J21" si="1">C8+D8-I8</f>
        <v>148.13824599999998</v>
      </c>
      <c r="K8" s="84"/>
      <c r="L8" s="85"/>
      <c r="M8" s="90"/>
      <c r="N8" s="90"/>
      <c r="O8" s="90"/>
      <c r="P8" s="90"/>
      <c r="Q8" s="90"/>
      <c r="R8" s="88"/>
      <c r="T8" s="31"/>
      <c r="U8" s="31"/>
      <c r="V8" s="26"/>
      <c r="W8" s="99"/>
      <c r="X8" s="154"/>
      <c r="Y8" s="127"/>
      <c r="Z8" s="124"/>
      <c r="AA8" s="132"/>
      <c r="AB8" s="59"/>
      <c r="AC8" s="26"/>
    </row>
    <row r="9" spans="1:29" s="32" customFormat="1" ht="39.75" customHeight="1" x14ac:dyDescent="0.25">
      <c r="A9" s="19">
        <v>2</v>
      </c>
      <c r="B9" s="20" t="s">
        <v>6</v>
      </c>
      <c r="C9" s="84">
        <v>191.8155945</v>
      </c>
      <c r="D9" s="85">
        <f>+E9+F9+G9+H9</f>
        <v>3295.0241770699995</v>
      </c>
      <c r="E9" s="90">
        <v>1250</v>
      </c>
      <c r="F9" s="90">
        <v>2042.5767539999999</v>
      </c>
      <c r="G9" s="90"/>
      <c r="H9" s="90">
        <v>2.4474230699999997</v>
      </c>
      <c r="I9" s="90">
        <v>3391.5221940000001</v>
      </c>
      <c r="J9" s="88">
        <f t="shared" si="1"/>
        <v>95.31757756999923</v>
      </c>
      <c r="K9" s="84">
        <v>550.41296642999964</v>
      </c>
      <c r="L9" s="85">
        <f t="shared" ref="L9:L21" si="2">+M9+N9+O9+P9</f>
        <v>2795.38618451</v>
      </c>
      <c r="M9" s="90">
        <v>738</v>
      </c>
      <c r="N9" s="90">
        <v>2054.88104591</v>
      </c>
      <c r="O9" s="90"/>
      <c r="P9" s="90">
        <v>2.5051386</v>
      </c>
      <c r="Q9" s="90">
        <v>3245.5346960000002</v>
      </c>
      <c r="R9" s="88">
        <f t="shared" ref="R9:R21" si="3">+K9+L9-Q9</f>
        <v>100.26445493999972</v>
      </c>
      <c r="T9" s="31"/>
      <c r="U9" s="31"/>
      <c r="V9" s="26"/>
      <c r="W9" s="99"/>
      <c r="X9" s="154"/>
      <c r="Y9" s="127"/>
      <c r="Z9" s="124"/>
      <c r="AA9" s="59"/>
      <c r="AB9" s="59"/>
      <c r="AC9" s="26"/>
    </row>
    <row r="10" spans="1:29" s="32" customFormat="1" ht="39.75" customHeight="1" x14ac:dyDescent="0.25">
      <c r="A10" s="19">
        <v>3</v>
      </c>
      <c r="B10" s="20" t="s">
        <v>7</v>
      </c>
      <c r="C10" s="84">
        <v>2.2217270899999999</v>
      </c>
      <c r="D10" s="85">
        <f t="shared" ref="D10:D21" si="4">+E10+F10+G10+H10</f>
        <v>1826.22995808</v>
      </c>
      <c r="E10" s="90">
        <v>1289.961</v>
      </c>
      <c r="F10" s="90">
        <v>536.18289971000002</v>
      </c>
      <c r="G10" s="90"/>
      <c r="H10" s="90">
        <v>8.6058369999999995E-2</v>
      </c>
      <c r="I10" s="90">
        <v>1769.137477</v>
      </c>
      <c r="J10" s="88">
        <f t="shared" si="1"/>
        <v>59.314208170000029</v>
      </c>
      <c r="K10" s="84">
        <v>74.968552569999929</v>
      </c>
      <c r="L10" s="85">
        <f t="shared" si="2"/>
        <v>1544.6946470099999</v>
      </c>
      <c r="M10" s="90">
        <v>1005.268</v>
      </c>
      <c r="N10" s="90">
        <v>539.41291701</v>
      </c>
      <c r="O10" s="90"/>
      <c r="P10" s="90">
        <v>1.3729999999999999E-2</v>
      </c>
      <c r="Q10" s="90">
        <v>1594.6677500000001</v>
      </c>
      <c r="R10" s="88">
        <f t="shared" si="3"/>
        <v>24.995449579999786</v>
      </c>
      <c r="T10" s="31"/>
      <c r="U10" s="31"/>
      <c r="V10" s="26"/>
      <c r="W10" s="99"/>
      <c r="X10" s="154"/>
      <c r="Y10" s="127"/>
      <c r="Z10" s="124"/>
      <c r="AA10" s="59"/>
      <c r="AB10" s="59"/>
      <c r="AC10" s="26"/>
    </row>
    <row r="11" spans="1:29" s="32" customFormat="1" ht="39.75" customHeight="1" x14ac:dyDescent="0.25">
      <c r="A11" s="19">
        <v>4</v>
      </c>
      <c r="B11" s="20" t="s">
        <v>8</v>
      </c>
      <c r="C11" s="84">
        <v>39.218324509999995</v>
      </c>
      <c r="D11" s="85">
        <f t="shared" si="4"/>
        <v>2229.9513176600003</v>
      </c>
      <c r="E11" s="90">
        <v>1667.115</v>
      </c>
      <c r="F11" s="90">
        <v>562.74211444000002</v>
      </c>
      <c r="G11" s="90"/>
      <c r="H11" s="90">
        <v>9.4203220000000004E-2</v>
      </c>
      <c r="I11" s="90">
        <v>2185.5670930000001</v>
      </c>
      <c r="J11" s="88">
        <f t="shared" si="1"/>
        <v>83.602549170000202</v>
      </c>
      <c r="K11" s="84">
        <v>346.45445361999987</v>
      </c>
      <c r="L11" s="85">
        <f t="shared" si="2"/>
        <v>2072.0971271600001</v>
      </c>
      <c r="M11" s="90">
        <v>1505.9649999999999</v>
      </c>
      <c r="N11" s="90">
        <v>566.13212715999998</v>
      </c>
      <c r="O11" s="90"/>
      <c r="P11" s="90">
        <v>0</v>
      </c>
      <c r="Q11" s="90">
        <v>2301.3077679999997</v>
      </c>
      <c r="R11" s="88">
        <f t="shared" si="3"/>
        <v>117.24381278000055</v>
      </c>
      <c r="T11" s="31"/>
      <c r="U11" s="31"/>
      <c r="V11" s="26"/>
      <c r="W11" s="99"/>
      <c r="X11" s="154"/>
      <c r="Y11" s="127"/>
      <c r="Z11" s="124"/>
      <c r="AA11" s="59"/>
      <c r="AB11" s="59"/>
      <c r="AC11" s="26"/>
    </row>
    <row r="12" spans="1:29" s="32" customFormat="1" ht="39.75" customHeight="1" x14ac:dyDescent="0.25">
      <c r="A12" s="19">
        <v>5</v>
      </c>
      <c r="B12" s="20" t="s">
        <v>9</v>
      </c>
      <c r="C12" s="84">
        <v>503.80893954000004</v>
      </c>
      <c r="D12" s="85">
        <f>+E12+F12+G12+H12</f>
        <v>1609.99716934</v>
      </c>
      <c r="E12" s="90">
        <v>980.5</v>
      </c>
      <c r="F12" s="90">
        <v>627.39116934000003</v>
      </c>
      <c r="G12" s="90"/>
      <c r="H12" s="90">
        <v>2.1059999999999999</v>
      </c>
      <c r="I12" s="90">
        <v>1773.7893960000001</v>
      </c>
      <c r="J12" s="88">
        <f t="shared" si="1"/>
        <v>340.01671287999989</v>
      </c>
      <c r="K12" s="84">
        <v>311.69156356000008</v>
      </c>
      <c r="L12" s="85">
        <f t="shared" si="2"/>
        <v>1645.6806343400001</v>
      </c>
      <c r="M12" s="90">
        <v>1014.5</v>
      </c>
      <c r="N12" s="90">
        <v>631.17063433999999</v>
      </c>
      <c r="O12" s="90"/>
      <c r="P12" s="90">
        <v>0.01</v>
      </c>
      <c r="Q12" s="90">
        <v>1954.029176</v>
      </c>
      <c r="R12" s="88">
        <f t="shared" si="3"/>
        <v>3.3430219000001671</v>
      </c>
      <c r="T12" s="31"/>
      <c r="U12" s="31"/>
      <c r="V12" s="26"/>
      <c r="W12" s="99"/>
      <c r="X12" s="154"/>
      <c r="Y12" s="127"/>
      <c r="Z12" s="124"/>
      <c r="AA12" s="59"/>
      <c r="AB12" s="59"/>
      <c r="AC12" s="26"/>
    </row>
    <row r="13" spans="1:29" s="32" customFormat="1" ht="39.75" customHeight="1" x14ac:dyDescent="0.25">
      <c r="A13" s="19">
        <v>6</v>
      </c>
      <c r="B13" s="20" t="s">
        <v>10</v>
      </c>
      <c r="C13" s="84">
        <v>1.3096195100000001</v>
      </c>
      <c r="D13" s="85">
        <f t="shared" si="4"/>
        <v>1978.9662436200001</v>
      </c>
      <c r="E13" s="90">
        <v>935.94200000000001</v>
      </c>
      <c r="F13" s="90">
        <v>1043.0242436200001</v>
      </c>
      <c r="G13" s="90"/>
      <c r="H13" s="90">
        <v>0</v>
      </c>
      <c r="I13" s="90">
        <v>1978.9932522999998</v>
      </c>
      <c r="J13" s="88">
        <f t="shared" si="1"/>
        <v>1.2826108300002943</v>
      </c>
      <c r="K13" s="84">
        <v>197.28704851999987</v>
      </c>
      <c r="L13" s="85">
        <f t="shared" si="2"/>
        <v>1637.1722129899999</v>
      </c>
      <c r="M13" s="90">
        <v>450</v>
      </c>
      <c r="N13" s="90">
        <v>1049.57221299</v>
      </c>
      <c r="O13" s="90"/>
      <c r="P13" s="90">
        <v>137.6</v>
      </c>
      <c r="Q13" s="90">
        <v>1760.2596640000002</v>
      </c>
      <c r="R13" s="88">
        <f t="shared" si="3"/>
        <v>74.199597509999649</v>
      </c>
      <c r="T13" s="31"/>
      <c r="U13" s="31"/>
      <c r="V13" s="26"/>
      <c r="W13" s="99"/>
      <c r="X13" s="154"/>
      <c r="Y13" s="127"/>
      <c r="Z13" s="124"/>
      <c r="AA13" s="59"/>
      <c r="AB13" s="59"/>
      <c r="AC13" s="26"/>
    </row>
    <row r="14" spans="1:29" s="32" customFormat="1" ht="39.75" customHeight="1" x14ac:dyDescent="0.25">
      <c r="A14" s="19">
        <v>7</v>
      </c>
      <c r="B14" s="20" t="s">
        <v>11</v>
      </c>
      <c r="C14" s="84">
        <v>272.24862026</v>
      </c>
      <c r="D14" s="85">
        <f t="shared" si="4"/>
        <v>1974.5087546699999</v>
      </c>
      <c r="E14" s="90">
        <v>1302</v>
      </c>
      <c r="F14" s="90">
        <v>672.50875466999992</v>
      </c>
      <c r="G14" s="90"/>
      <c r="H14" s="90">
        <v>0</v>
      </c>
      <c r="I14" s="157">
        <v>2107.679725</v>
      </c>
      <c r="J14" s="88">
        <f t="shared" si="1"/>
        <v>139.07764993000001</v>
      </c>
      <c r="K14" s="84">
        <v>493.79068098999983</v>
      </c>
      <c r="L14" s="85">
        <f t="shared" si="2"/>
        <v>1982.1186448199999</v>
      </c>
      <c r="M14" s="90">
        <v>1271</v>
      </c>
      <c r="N14" s="90">
        <v>676.55998422000005</v>
      </c>
      <c r="O14" s="90"/>
      <c r="P14" s="90">
        <v>34.558660600000003</v>
      </c>
      <c r="Q14" s="90">
        <v>2262.8744459999998</v>
      </c>
      <c r="R14" s="88">
        <f t="shared" si="3"/>
        <v>213.03487980999989</v>
      </c>
      <c r="T14" s="31"/>
      <c r="U14" s="31"/>
      <c r="V14" s="26"/>
      <c r="W14" s="99"/>
      <c r="X14" s="154"/>
      <c r="Y14" s="127"/>
      <c r="Z14" s="124"/>
      <c r="AA14" s="59"/>
      <c r="AB14" s="59"/>
      <c r="AC14" s="26"/>
    </row>
    <row r="15" spans="1:29" s="32" customFormat="1" ht="39.75" customHeight="1" x14ac:dyDescent="0.25">
      <c r="A15" s="19">
        <v>8</v>
      </c>
      <c r="B15" s="20" t="s">
        <v>12</v>
      </c>
      <c r="C15" s="84">
        <v>139.80961569999999</v>
      </c>
      <c r="D15" s="85">
        <f t="shared" si="4"/>
        <v>2299.2291247200001</v>
      </c>
      <c r="E15" s="90">
        <v>1562.6189999999999</v>
      </c>
      <c r="F15" s="90">
        <v>731.96835719000001</v>
      </c>
      <c r="G15" s="90"/>
      <c r="H15" s="90">
        <v>4.6417675300000001</v>
      </c>
      <c r="I15" s="90">
        <v>2299.3272050199998</v>
      </c>
      <c r="J15" s="88">
        <f t="shared" si="1"/>
        <v>139.71153540000023</v>
      </c>
      <c r="K15" s="84">
        <v>402.77233741000009</v>
      </c>
      <c r="L15" s="85">
        <f t="shared" si="2"/>
        <v>3134.8505343400002</v>
      </c>
      <c r="M15" s="90">
        <v>2395.0395360000002</v>
      </c>
      <c r="N15" s="90">
        <v>736.37769183</v>
      </c>
      <c r="O15" s="90"/>
      <c r="P15" s="90">
        <v>3.43330651</v>
      </c>
      <c r="Q15" s="90">
        <v>2496.7339000000002</v>
      </c>
      <c r="R15" s="88">
        <f t="shared" si="3"/>
        <v>1040.8889717500001</v>
      </c>
      <c r="T15" s="31"/>
      <c r="U15" s="31"/>
      <c r="V15" s="26"/>
      <c r="W15" s="99"/>
      <c r="X15" s="154"/>
      <c r="Y15" s="127"/>
      <c r="Z15" s="124"/>
      <c r="AA15" s="59"/>
      <c r="AB15" s="59"/>
      <c r="AC15" s="26"/>
    </row>
    <row r="16" spans="1:29" s="32" customFormat="1" ht="39.75" customHeight="1" x14ac:dyDescent="0.25">
      <c r="A16" s="19">
        <v>9</v>
      </c>
      <c r="B16" s="20" t="s">
        <v>13</v>
      </c>
      <c r="C16" s="84">
        <v>146.15030086000002</v>
      </c>
      <c r="D16" s="85">
        <f t="shared" si="4"/>
        <v>1330.8425595900001</v>
      </c>
      <c r="E16" s="90">
        <v>760</v>
      </c>
      <c r="F16" s="90">
        <v>566.26098549999995</v>
      </c>
      <c r="G16" s="90"/>
      <c r="H16" s="90">
        <v>4.5815740900000002</v>
      </c>
      <c r="I16" s="90">
        <v>1475.8732689999999</v>
      </c>
      <c r="J16" s="88">
        <f t="shared" si="1"/>
        <v>1.1195914500001436</v>
      </c>
      <c r="K16" s="84">
        <v>136.42420163999986</v>
      </c>
      <c r="L16" s="85">
        <f t="shared" si="2"/>
        <v>1329.67219628</v>
      </c>
      <c r="M16" s="90">
        <v>760</v>
      </c>
      <c r="N16" s="90">
        <v>569.67219627999998</v>
      </c>
      <c r="O16" s="90"/>
      <c r="P16" s="90">
        <v>0</v>
      </c>
      <c r="Q16" s="90">
        <v>1459.56395</v>
      </c>
      <c r="R16" s="88">
        <f t="shared" si="3"/>
        <v>6.5324479199998677</v>
      </c>
      <c r="S16" s="74"/>
      <c r="T16" s="31"/>
      <c r="U16" s="31"/>
      <c r="V16" s="26"/>
      <c r="W16" s="99"/>
      <c r="X16" s="154"/>
      <c r="Y16" s="127"/>
      <c r="Z16" s="124"/>
      <c r="AA16" s="59"/>
      <c r="AB16" s="59"/>
      <c r="AC16" s="26"/>
    </row>
    <row r="17" spans="1:29" s="32" customFormat="1" ht="39.75" customHeight="1" x14ac:dyDescent="0.25">
      <c r="A17" s="19">
        <v>10</v>
      </c>
      <c r="B17" s="20" t="s">
        <v>14</v>
      </c>
      <c r="C17" s="84">
        <v>3.6338837799999997</v>
      </c>
      <c r="D17" s="85">
        <f t="shared" si="4"/>
        <v>1568.0582214799999</v>
      </c>
      <c r="E17" s="90">
        <v>1140.9105999999999</v>
      </c>
      <c r="F17" s="90">
        <v>426.95092148000003</v>
      </c>
      <c r="G17" s="90"/>
      <c r="H17" s="90">
        <v>0.19670000000000001</v>
      </c>
      <c r="I17" s="90">
        <v>1470.20658308</v>
      </c>
      <c r="J17" s="88">
        <f t="shared" si="1"/>
        <v>101.48552217999986</v>
      </c>
      <c r="K17" s="84">
        <v>76.660906679999982</v>
      </c>
      <c r="L17" s="85">
        <f t="shared" si="2"/>
        <v>1418.8661969700001</v>
      </c>
      <c r="M17" s="90">
        <v>989.15060000000005</v>
      </c>
      <c r="N17" s="90">
        <v>429.52144886000002</v>
      </c>
      <c r="O17" s="90"/>
      <c r="P17" s="90">
        <v>0.19414810999999998</v>
      </c>
      <c r="Q17" s="90">
        <v>1485.6105434999999</v>
      </c>
      <c r="R17" s="88">
        <f t="shared" si="3"/>
        <v>9.916560150000123</v>
      </c>
      <c r="T17" s="31"/>
      <c r="U17" s="31"/>
      <c r="V17" s="26"/>
      <c r="W17" s="99"/>
      <c r="X17" s="154"/>
      <c r="Y17" s="127"/>
      <c r="Z17" s="124"/>
      <c r="AA17" s="59"/>
      <c r="AB17" s="59"/>
      <c r="AC17" s="26"/>
    </row>
    <row r="18" spans="1:29" s="32" customFormat="1" ht="39.75" customHeight="1" x14ac:dyDescent="0.25">
      <c r="A18" s="19">
        <v>11</v>
      </c>
      <c r="B18" s="20" t="s">
        <v>15</v>
      </c>
      <c r="C18" s="84">
        <v>1.70067678</v>
      </c>
      <c r="D18" s="85">
        <f t="shared" si="4"/>
        <v>1869.2079804800001</v>
      </c>
      <c r="E18" s="90">
        <v>1447.75</v>
      </c>
      <c r="F18" s="90">
        <v>417.40222048000004</v>
      </c>
      <c r="G18" s="90"/>
      <c r="H18" s="90">
        <v>4.0557600000000003</v>
      </c>
      <c r="I18" s="90">
        <v>1866.0048730000001</v>
      </c>
      <c r="J18" s="88">
        <f t="shared" si="1"/>
        <v>4.9037842600000658</v>
      </c>
      <c r="K18" s="84">
        <v>81.490928060000044</v>
      </c>
      <c r="L18" s="85">
        <f t="shared" si="2"/>
        <v>925.95669181999995</v>
      </c>
      <c r="M18" s="90">
        <v>506</v>
      </c>
      <c r="N18" s="90">
        <v>419.91669181999998</v>
      </c>
      <c r="O18" s="90"/>
      <c r="P18" s="90">
        <v>0.04</v>
      </c>
      <c r="Q18" s="90">
        <v>999.89679236000006</v>
      </c>
      <c r="R18" s="88">
        <f t="shared" si="3"/>
        <v>7.5508275199999844</v>
      </c>
      <c r="T18" s="31"/>
      <c r="U18" s="31"/>
      <c r="V18" s="26"/>
      <c r="W18" s="99"/>
      <c r="X18" s="154"/>
      <c r="Y18" s="127"/>
      <c r="Z18" s="124"/>
      <c r="AA18" s="59"/>
      <c r="AB18" s="59"/>
      <c r="AC18" s="26"/>
    </row>
    <row r="19" spans="1:29" s="32" customFormat="1" ht="39.75" customHeight="1" x14ac:dyDescent="0.25">
      <c r="A19" s="19">
        <v>12</v>
      </c>
      <c r="B19" s="20" t="s">
        <v>16</v>
      </c>
      <c r="C19" s="84">
        <v>176.1703522</v>
      </c>
      <c r="D19" s="85">
        <f>+E19+F19+G19+H19</f>
        <v>1711.4999606800002</v>
      </c>
      <c r="E19" s="90">
        <v>1172.5</v>
      </c>
      <c r="F19" s="90">
        <v>538.97496067999998</v>
      </c>
      <c r="G19" s="90"/>
      <c r="H19" s="90">
        <v>2.5000000000000001E-2</v>
      </c>
      <c r="I19" s="90">
        <v>1772.3520002</v>
      </c>
      <c r="J19" s="88">
        <f t="shared" si="1"/>
        <v>115.31831268000019</v>
      </c>
      <c r="K19" s="84">
        <v>343.02380846999995</v>
      </c>
      <c r="L19" s="85">
        <f t="shared" si="2"/>
        <v>1461.22179783</v>
      </c>
      <c r="M19" s="90">
        <v>919</v>
      </c>
      <c r="N19" s="90">
        <v>542.22179783000001</v>
      </c>
      <c r="O19" s="90"/>
      <c r="P19" s="90">
        <v>0</v>
      </c>
      <c r="Q19" s="90">
        <v>1689.6256325999998</v>
      </c>
      <c r="R19" s="88">
        <f t="shared" si="3"/>
        <v>114.61997370000017</v>
      </c>
      <c r="T19" s="31"/>
      <c r="U19" s="31"/>
      <c r="V19" s="26"/>
      <c r="W19" s="99"/>
      <c r="X19" s="154"/>
      <c r="Y19" s="127"/>
      <c r="Z19" s="124"/>
      <c r="AA19" s="59"/>
      <c r="AB19" s="59"/>
      <c r="AC19" s="26"/>
    </row>
    <row r="20" spans="1:29" s="32" customFormat="1" ht="39.75" customHeight="1" x14ac:dyDescent="0.25">
      <c r="A20" s="19">
        <v>13</v>
      </c>
      <c r="B20" s="20" t="s">
        <v>17</v>
      </c>
      <c r="C20" s="84">
        <v>207.02910105000001</v>
      </c>
      <c r="D20" s="85">
        <f t="shared" si="4"/>
        <v>1539.24863852</v>
      </c>
      <c r="E20" s="90">
        <v>1155.44</v>
      </c>
      <c r="F20" s="90">
        <v>383.80863851999999</v>
      </c>
      <c r="G20" s="90"/>
      <c r="H20" s="90">
        <v>0</v>
      </c>
      <c r="I20" s="90">
        <v>1694.7824874999999</v>
      </c>
      <c r="J20" s="88">
        <f t="shared" si="1"/>
        <v>51.495252070000106</v>
      </c>
      <c r="K20" s="84">
        <v>74.936054130000002</v>
      </c>
      <c r="L20" s="85">
        <f t="shared" si="2"/>
        <v>1473.45064445</v>
      </c>
      <c r="M20" s="90">
        <v>1086.94</v>
      </c>
      <c r="N20" s="90">
        <v>386.51064444999997</v>
      </c>
      <c r="O20" s="90"/>
      <c r="P20" s="90">
        <v>0</v>
      </c>
      <c r="Q20" s="90">
        <v>1422.1849769999999</v>
      </c>
      <c r="R20" s="88">
        <f t="shared" si="3"/>
        <v>126.20172158000014</v>
      </c>
      <c r="T20" s="31"/>
      <c r="U20" s="31"/>
      <c r="V20" s="26"/>
      <c r="W20" s="99"/>
      <c r="X20" s="154"/>
      <c r="Y20" s="127"/>
      <c r="Z20" s="124"/>
      <c r="AA20" s="59"/>
      <c r="AB20" s="59"/>
      <c r="AC20" s="26"/>
    </row>
    <row r="21" spans="1:29" s="32" customFormat="1" ht="39.75" customHeight="1" thickBot="1" x14ac:dyDescent="0.3">
      <c r="A21" s="19">
        <v>14</v>
      </c>
      <c r="B21" s="22" t="s">
        <v>18</v>
      </c>
      <c r="C21" s="91">
        <v>44.478139859999999</v>
      </c>
      <c r="D21" s="92">
        <f t="shared" si="4"/>
        <v>1343.20628235</v>
      </c>
      <c r="E21" s="152">
        <v>1010.42</v>
      </c>
      <c r="F21" s="152">
        <v>316.90688058999996</v>
      </c>
      <c r="G21" s="152"/>
      <c r="H21" s="152">
        <v>15.87940176</v>
      </c>
      <c r="I21" s="152">
        <v>1303.4294300500001</v>
      </c>
      <c r="J21" s="95">
        <f t="shared" si="1"/>
        <v>84.254992160000029</v>
      </c>
      <c r="K21" s="91">
        <v>751.57008065000014</v>
      </c>
      <c r="L21" s="92">
        <f t="shared" si="2"/>
        <v>842.73595823000005</v>
      </c>
      <c r="M21" s="152">
        <v>523.91999999999996</v>
      </c>
      <c r="N21" s="152">
        <v>318.81595823000004</v>
      </c>
      <c r="O21" s="152"/>
      <c r="P21" s="152">
        <v>0</v>
      </c>
      <c r="Q21" s="152">
        <v>1458.2193730000001</v>
      </c>
      <c r="R21" s="95">
        <f t="shared" si="3"/>
        <v>136.08666588000006</v>
      </c>
      <c r="T21" s="31"/>
      <c r="U21" s="31"/>
      <c r="V21" s="26"/>
      <c r="W21" s="99"/>
      <c r="X21" s="154"/>
      <c r="Y21" s="127"/>
      <c r="Z21" s="124"/>
      <c r="AA21" s="59"/>
      <c r="AB21" s="59"/>
      <c r="AC21" s="26"/>
    </row>
    <row r="22" spans="1:29" x14ac:dyDescent="0.25">
      <c r="X22" s="154"/>
      <c r="Y22" s="26"/>
      <c r="AC22" s="26"/>
    </row>
    <row r="24" spans="1:29" x14ac:dyDescent="0.25">
      <c r="R24" s="26"/>
    </row>
    <row r="25" spans="1:29" x14ac:dyDescent="0.25">
      <c r="C25" s="26"/>
      <c r="D25" s="26"/>
      <c r="E25" s="26"/>
      <c r="F25" s="26"/>
      <c r="G25" s="26"/>
      <c r="H25" s="26"/>
      <c r="I25" s="26"/>
      <c r="J25" s="26"/>
      <c r="K25" s="26"/>
      <c r="L25" s="26"/>
      <c r="M25" s="26"/>
      <c r="N25" s="26"/>
      <c r="O25" s="26"/>
      <c r="P25" s="26"/>
      <c r="Q25" s="26"/>
      <c r="R25" s="26"/>
    </row>
    <row r="26" spans="1:29" x14ac:dyDescent="0.25">
      <c r="I26" s="153"/>
    </row>
    <row r="27" spans="1:29" x14ac:dyDescent="0.25">
      <c r="J27" s="26"/>
    </row>
  </sheetData>
  <mergeCells count="20">
    <mergeCell ref="A1:R1"/>
    <mergeCell ref="B2:R2"/>
    <mergeCell ref="A3:B3"/>
    <mergeCell ref="Q3:R3"/>
    <mergeCell ref="A4:A6"/>
    <mergeCell ref="B4:B6"/>
    <mergeCell ref="C4:J4"/>
    <mergeCell ref="K4:R4"/>
    <mergeCell ref="C5:C6"/>
    <mergeCell ref="D5:D6"/>
    <mergeCell ref="M5:P5"/>
    <mergeCell ref="Q5:Q6"/>
    <mergeCell ref="R5:R6"/>
    <mergeCell ref="T5:U5"/>
    <mergeCell ref="A7:B7"/>
    <mergeCell ref="E5:H5"/>
    <mergeCell ref="I5:I6"/>
    <mergeCell ref="J5:J6"/>
    <mergeCell ref="K5:K6"/>
    <mergeCell ref="L5:L6"/>
  </mergeCells>
  <printOptions horizontalCentered="1" verticalCentered="1"/>
  <pageMargins left="0" right="0" top="0" bottom="0" header="0" footer="0"/>
  <pageSetup paperSize="9" scale="35" orientation="landscape" r:id="rId1"/>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U101"/>
  <sheetViews>
    <sheetView zoomScaleNormal="100" workbookViewId="0">
      <pane xSplit="1" ySplit="10" topLeftCell="B16" activePane="bottomRight" state="frozen"/>
      <selection activeCell="B13" sqref="B13:AS100"/>
      <selection pane="topRight" activeCell="B13" sqref="B13:AS100"/>
      <selection pane="bottomLeft" activeCell="B13" sqref="B13:AS100"/>
      <selection pane="bottomRight" activeCell="D22" sqref="D22:D100"/>
    </sheetView>
  </sheetViews>
  <sheetFormatPr defaultRowHeight="15" x14ac:dyDescent="0.25"/>
  <cols>
    <col min="1" max="1" width="36.5703125" bestFit="1" customWidth="1"/>
    <col min="2" max="2" width="18.42578125" bestFit="1" customWidth="1"/>
    <col min="3" max="3" width="19.7109375" bestFit="1" customWidth="1"/>
    <col min="4" max="4" width="18.42578125" bestFit="1" customWidth="1"/>
    <col min="5" max="5" width="19.7109375" bestFit="1" customWidth="1"/>
    <col min="6" max="6" width="18.42578125" bestFit="1" customWidth="1"/>
    <col min="7" max="7" width="19.7109375" bestFit="1" customWidth="1"/>
    <col min="8" max="8" width="18.42578125" bestFit="1" customWidth="1"/>
    <col min="9" max="9" width="19.7109375" bestFit="1" customWidth="1"/>
    <col min="10" max="10" width="18.42578125" bestFit="1" customWidth="1"/>
    <col min="11" max="11" width="19.7109375" bestFit="1" customWidth="1"/>
    <col min="12" max="12" width="18.42578125" bestFit="1" customWidth="1"/>
    <col min="13" max="13" width="19.7109375" bestFit="1" customWidth="1"/>
    <col min="14" max="14" width="18.42578125" bestFit="1" customWidth="1"/>
    <col min="15" max="15" width="19.7109375" bestFit="1" customWidth="1"/>
    <col min="16" max="16" width="18.42578125" bestFit="1" customWidth="1"/>
    <col min="17" max="17" width="19.7109375" bestFit="1" customWidth="1"/>
    <col min="18" max="18" width="18.42578125" bestFit="1" customWidth="1"/>
    <col min="19" max="19" width="19.7109375" bestFit="1" customWidth="1"/>
    <col min="20" max="20" width="18.42578125" bestFit="1" customWidth="1"/>
    <col min="21" max="21" width="19.7109375" bestFit="1" customWidth="1"/>
    <col min="22" max="22" width="18.42578125" bestFit="1" customWidth="1"/>
    <col min="23" max="23" width="19.7109375" bestFit="1" customWidth="1"/>
    <col min="24" max="24" width="18.42578125" bestFit="1" customWidth="1"/>
    <col min="25" max="25" width="19.7109375" bestFit="1" customWidth="1"/>
    <col min="26" max="26" width="18.42578125" bestFit="1" customWidth="1"/>
    <col min="27" max="27" width="19.7109375" bestFit="1" customWidth="1"/>
    <col min="28" max="28" width="18.42578125" bestFit="1" customWidth="1"/>
    <col min="29" max="29" width="19.7109375" bestFit="1" customWidth="1"/>
    <col min="30" max="30" width="18.42578125" bestFit="1" customWidth="1"/>
    <col min="31" max="31" width="19.7109375" bestFit="1" customWidth="1"/>
    <col min="32" max="32" width="18.42578125" bestFit="1" customWidth="1"/>
    <col min="33" max="33" width="19.7109375" bestFit="1" customWidth="1"/>
    <col min="34" max="34" width="18.42578125" bestFit="1" customWidth="1"/>
    <col min="35" max="35" width="19.7109375" bestFit="1" customWidth="1"/>
    <col min="36" max="36" width="18.42578125" bestFit="1" customWidth="1"/>
    <col min="37" max="37" width="19.7109375" bestFit="1" customWidth="1"/>
    <col min="38" max="38" width="18.42578125" bestFit="1" customWidth="1"/>
    <col min="39" max="39" width="19.7109375" bestFit="1" customWidth="1"/>
    <col min="40" max="40" width="18.42578125" bestFit="1" customWidth="1"/>
    <col min="41" max="41" width="19.7109375" bestFit="1" customWidth="1"/>
    <col min="42" max="42" width="18.42578125" bestFit="1" customWidth="1"/>
    <col min="43" max="43" width="19.7109375" bestFit="1" customWidth="1"/>
    <col min="44" max="44" width="18.42578125" bestFit="1" customWidth="1"/>
    <col min="45" max="45" width="19.7109375" bestFit="1" customWidth="1"/>
  </cols>
  <sheetData>
    <row r="1" spans="1:47" x14ac:dyDescent="0.25">
      <c r="A1" s="605" t="s">
        <v>20</v>
      </c>
      <c r="C1">
        <v>1000000</v>
      </c>
    </row>
    <row r="2" spans="1:47" x14ac:dyDescent="0.25">
      <c r="A2" s="644" t="s">
        <v>21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row>
    <row r="3" spans="1:47" x14ac:dyDescent="0.25">
      <c r="A3" s="644" t="s">
        <v>22</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row>
    <row r="4" spans="1:47" x14ac:dyDescent="0.25">
      <c r="A4" s="644" t="s">
        <v>23</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row>
    <row r="5" spans="1:47" x14ac:dyDescent="0.25">
      <c r="A5" s="644" t="s">
        <v>584</v>
      </c>
      <c r="B5" s="644"/>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644"/>
      <c r="AM5" s="644"/>
      <c r="AN5" s="644"/>
      <c r="AO5" s="644"/>
      <c r="AP5" s="644"/>
      <c r="AQ5" s="644"/>
      <c r="AR5" s="644"/>
      <c r="AS5" s="644"/>
    </row>
    <row r="6" spans="1:47" x14ac:dyDescent="0.25">
      <c r="A6" s="644" t="s">
        <v>631</v>
      </c>
      <c r="B6" s="644"/>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644"/>
    </row>
    <row r="7" spans="1:47" x14ac:dyDescent="0.25">
      <c r="A7" s="645" t="s">
        <v>632</v>
      </c>
      <c r="B7" s="645"/>
      <c r="C7" s="645"/>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6" t="s">
        <v>24</v>
      </c>
      <c r="AR7" s="646"/>
    </row>
    <row r="8" spans="1:47" x14ac:dyDescent="0.25">
      <c r="A8" s="753" t="s">
        <v>25</v>
      </c>
      <c r="B8" s="641" t="s">
        <v>26</v>
      </c>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3"/>
    </row>
    <row r="9" spans="1:47" x14ac:dyDescent="0.25">
      <c r="A9" s="754"/>
      <c r="B9" s="751" t="s">
        <v>27</v>
      </c>
      <c r="C9" s="752"/>
      <c r="D9" s="751" t="s">
        <v>28</v>
      </c>
      <c r="E9" s="752"/>
      <c r="F9" s="751" t="s">
        <v>188</v>
      </c>
      <c r="G9" s="752"/>
      <c r="H9" s="751" t="s">
        <v>555</v>
      </c>
      <c r="I9" s="752"/>
      <c r="J9" s="751" t="s">
        <v>583</v>
      </c>
      <c r="K9" s="752"/>
      <c r="L9" s="751" t="s">
        <v>187</v>
      </c>
      <c r="M9" s="752"/>
      <c r="N9" s="751" t="s">
        <v>125</v>
      </c>
      <c r="O9" s="752"/>
      <c r="P9" s="751" t="s">
        <v>184</v>
      </c>
      <c r="Q9" s="752"/>
      <c r="R9" s="751" t="s">
        <v>602</v>
      </c>
      <c r="S9" s="752"/>
      <c r="T9" s="751" t="s">
        <v>601</v>
      </c>
      <c r="U9" s="752"/>
      <c r="V9" s="751" t="s">
        <v>133</v>
      </c>
      <c r="W9" s="752"/>
      <c r="X9" s="751" t="s">
        <v>582</v>
      </c>
      <c r="Y9" s="752"/>
      <c r="Z9" s="751" t="s">
        <v>29</v>
      </c>
      <c r="AA9" s="752"/>
      <c r="AB9" s="751" t="s">
        <v>620</v>
      </c>
      <c r="AC9" s="752"/>
      <c r="AD9" s="751" t="s">
        <v>70</v>
      </c>
      <c r="AE9" s="752"/>
      <c r="AF9" s="751" t="s">
        <v>60</v>
      </c>
      <c r="AG9" s="752"/>
      <c r="AH9" s="751" t="s">
        <v>182</v>
      </c>
      <c r="AI9" s="752"/>
      <c r="AJ9" s="751" t="s">
        <v>30</v>
      </c>
      <c r="AK9" s="752"/>
      <c r="AL9" s="751" t="s">
        <v>61</v>
      </c>
      <c r="AM9" s="752"/>
      <c r="AN9" s="751" t="s">
        <v>31</v>
      </c>
      <c r="AO9" s="752"/>
      <c r="AP9" s="751" t="s">
        <v>183</v>
      </c>
      <c r="AQ9" s="752"/>
      <c r="AR9" s="751" t="s">
        <v>621</v>
      </c>
      <c r="AS9" s="752"/>
    </row>
    <row r="10" spans="1:47" x14ac:dyDescent="0.25">
      <c r="A10" s="755"/>
      <c r="B10" s="156" t="s">
        <v>32</v>
      </c>
      <c r="C10" s="156" t="s">
        <v>33</v>
      </c>
      <c r="D10" s="156" t="s">
        <v>32</v>
      </c>
      <c r="E10" s="156" t="s">
        <v>33</v>
      </c>
      <c r="F10" s="156" t="s">
        <v>32</v>
      </c>
      <c r="G10" s="156" t="s">
        <v>33</v>
      </c>
      <c r="H10" s="156" t="s">
        <v>32</v>
      </c>
      <c r="I10" s="156" t="s">
        <v>33</v>
      </c>
      <c r="J10" s="156" t="s">
        <v>32</v>
      </c>
      <c r="K10" s="156" t="s">
        <v>33</v>
      </c>
      <c r="L10" s="156" t="s">
        <v>32</v>
      </c>
      <c r="M10" s="156" t="s">
        <v>33</v>
      </c>
      <c r="N10" s="156" t="s">
        <v>32</v>
      </c>
      <c r="O10" s="156" t="s">
        <v>33</v>
      </c>
      <c r="P10" s="156" t="s">
        <v>32</v>
      </c>
      <c r="Q10" s="156" t="s">
        <v>33</v>
      </c>
      <c r="R10" s="156" t="s">
        <v>32</v>
      </c>
      <c r="S10" s="156" t="s">
        <v>33</v>
      </c>
      <c r="T10" s="156" t="s">
        <v>32</v>
      </c>
      <c r="U10" s="156" t="s">
        <v>33</v>
      </c>
      <c r="V10" s="156" t="s">
        <v>32</v>
      </c>
      <c r="W10" s="156" t="s">
        <v>33</v>
      </c>
      <c r="X10" s="156" t="s">
        <v>32</v>
      </c>
      <c r="Y10" s="156" t="s">
        <v>33</v>
      </c>
      <c r="Z10" s="156" t="s">
        <v>32</v>
      </c>
      <c r="AA10" s="156" t="s">
        <v>33</v>
      </c>
      <c r="AB10" s="156" t="s">
        <v>32</v>
      </c>
      <c r="AC10" s="156" t="s">
        <v>33</v>
      </c>
      <c r="AD10" s="156" t="s">
        <v>32</v>
      </c>
      <c r="AE10" s="156" t="s">
        <v>33</v>
      </c>
      <c r="AF10" s="156" t="s">
        <v>32</v>
      </c>
      <c r="AG10" s="156" t="s">
        <v>33</v>
      </c>
      <c r="AH10" s="156" t="s">
        <v>32</v>
      </c>
      <c r="AI10" s="156" t="s">
        <v>33</v>
      </c>
      <c r="AJ10" s="156" t="s">
        <v>32</v>
      </c>
      <c r="AK10" s="156" t="s">
        <v>33</v>
      </c>
      <c r="AL10" s="156" t="s">
        <v>32</v>
      </c>
      <c r="AM10" s="156" t="s">
        <v>33</v>
      </c>
      <c r="AN10" s="156" t="s">
        <v>32</v>
      </c>
      <c r="AO10" s="156" t="s">
        <v>33</v>
      </c>
      <c r="AP10" s="156" t="s">
        <v>32</v>
      </c>
      <c r="AQ10" s="156" t="s">
        <v>33</v>
      </c>
      <c r="AR10" s="156" t="s">
        <v>32</v>
      </c>
      <c r="AS10" s="156" t="s">
        <v>33</v>
      </c>
    </row>
    <row r="11" spans="1:47" hidden="1" x14ac:dyDescent="0.25">
      <c r="A11" s="155" t="s">
        <v>34</v>
      </c>
      <c r="AS11" s="487"/>
    </row>
    <row r="12" spans="1:47" hidden="1" x14ac:dyDescent="0.25">
      <c r="A12" s="155" t="s">
        <v>35</v>
      </c>
      <c r="AS12" s="487"/>
    </row>
    <row r="13" spans="1:47" hidden="1" x14ac:dyDescent="0.25">
      <c r="A13" s="284" t="s">
        <v>36</v>
      </c>
      <c r="B13" s="345">
        <v>0</v>
      </c>
      <c r="C13" s="345">
        <v>0</v>
      </c>
      <c r="D13" s="348">
        <v>1365.03854475</v>
      </c>
      <c r="E13" s="345">
        <v>0</v>
      </c>
      <c r="F13" s="345">
        <v>0</v>
      </c>
      <c r="G13" s="345">
        <v>0</v>
      </c>
      <c r="H13" s="345">
        <v>0</v>
      </c>
      <c r="I13" s="345">
        <v>0</v>
      </c>
      <c r="J13" s="345">
        <v>0</v>
      </c>
      <c r="K13" s="345">
        <v>0</v>
      </c>
      <c r="L13" s="345">
        <v>0</v>
      </c>
      <c r="M13" s="345">
        <v>0</v>
      </c>
      <c r="N13" s="345">
        <v>0</v>
      </c>
      <c r="O13" s="345">
        <v>0</v>
      </c>
      <c r="P13" s="345">
        <v>0</v>
      </c>
      <c r="Q13" s="345">
        <v>0</v>
      </c>
      <c r="R13" s="345">
        <v>0</v>
      </c>
      <c r="S13" s="345">
        <v>0</v>
      </c>
      <c r="T13" s="345">
        <v>0</v>
      </c>
      <c r="U13" s="345">
        <v>0</v>
      </c>
      <c r="V13" s="345">
        <v>0</v>
      </c>
      <c r="W13" s="345">
        <v>0</v>
      </c>
      <c r="X13" s="345">
        <v>0</v>
      </c>
      <c r="Y13" s="345">
        <v>0</v>
      </c>
      <c r="Z13" s="345">
        <v>0</v>
      </c>
      <c r="AA13" s="345">
        <v>0</v>
      </c>
      <c r="AB13" s="345">
        <v>0</v>
      </c>
      <c r="AC13" s="345">
        <v>0</v>
      </c>
      <c r="AD13" s="345">
        <v>0</v>
      </c>
      <c r="AE13" s="345">
        <v>0</v>
      </c>
      <c r="AF13" s="345">
        <v>0</v>
      </c>
      <c r="AG13" s="345">
        <v>0</v>
      </c>
      <c r="AH13" s="345">
        <v>0</v>
      </c>
      <c r="AI13" s="345">
        <v>0</v>
      </c>
      <c r="AJ13" s="345">
        <v>0</v>
      </c>
      <c r="AK13" s="345">
        <v>0</v>
      </c>
      <c r="AL13" s="345">
        <v>0</v>
      </c>
      <c r="AM13" s="345">
        <v>0</v>
      </c>
      <c r="AN13" s="345">
        <v>0</v>
      </c>
      <c r="AO13" s="345">
        <v>0</v>
      </c>
      <c r="AP13" s="345">
        <v>0</v>
      </c>
      <c r="AQ13" s="345">
        <v>0</v>
      </c>
      <c r="AR13" s="345">
        <v>0</v>
      </c>
      <c r="AS13" s="348">
        <v>1365.03854475</v>
      </c>
    </row>
    <row r="14" spans="1:47" hidden="1" x14ac:dyDescent="0.25">
      <c r="A14" s="284" t="s">
        <v>37</v>
      </c>
      <c r="B14" s="348">
        <v>7282.9786852700008</v>
      </c>
      <c r="C14" s="348">
        <v>7282.9786852700008</v>
      </c>
      <c r="D14" s="348">
        <v>31978.217551040001</v>
      </c>
      <c r="E14" s="348">
        <v>32295.426713419998</v>
      </c>
      <c r="F14" s="348">
        <v>6.65</v>
      </c>
      <c r="G14" s="345">
        <v>0</v>
      </c>
      <c r="H14" s="348">
        <v>40.299999999999997</v>
      </c>
      <c r="I14" s="345">
        <v>0</v>
      </c>
      <c r="J14" s="348">
        <v>92.538601</v>
      </c>
      <c r="K14" s="345">
        <v>0</v>
      </c>
      <c r="L14" s="348">
        <v>168.81703209</v>
      </c>
      <c r="M14" s="348">
        <v>2.4000000499999996</v>
      </c>
      <c r="N14" s="348">
        <v>1243.795801</v>
      </c>
      <c r="O14" s="348">
        <v>12.4</v>
      </c>
      <c r="P14" s="348">
        <v>34.97824</v>
      </c>
      <c r="Q14" s="348">
        <v>2.38</v>
      </c>
      <c r="R14" s="348">
        <v>1.844444</v>
      </c>
      <c r="S14" s="348">
        <v>1.844444</v>
      </c>
      <c r="T14" s="348">
        <v>117.245</v>
      </c>
      <c r="U14" s="345">
        <v>0</v>
      </c>
      <c r="V14" s="348">
        <v>568.29076361</v>
      </c>
      <c r="W14" s="348">
        <v>117.06543562</v>
      </c>
      <c r="X14" s="348">
        <v>7.6</v>
      </c>
      <c r="Y14" s="345">
        <v>0</v>
      </c>
      <c r="Z14" s="348">
        <v>4156.8518299999996</v>
      </c>
      <c r="AA14" s="348">
        <v>70.118399999999994</v>
      </c>
      <c r="AB14" s="348">
        <v>3.5640000000000001</v>
      </c>
      <c r="AC14" s="348">
        <v>1.4850000000000001</v>
      </c>
      <c r="AD14" s="348">
        <v>6.15</v>
      </c>
      <c r="AE14" s="345">
        <v>0</v>
      </c>
      <c r="AF14" s="348">
        <v>25788.777607610002</v>
      </c>
      <c r="AG14" s="348">
        <v>1518.7072446</v>
      </c>
      <c r="AH14" s="348">
        <v>50</v>
      </c>
      <c r="AI14" s="348">
        <v>17359.567676999999</v>
      </c>
      <c r="AJ14" s="348">
        <v>8.0233941099999999</v>
      </c>
      <c r="AK14" s="348">
        <v>12873.692665770001</v>
      </c>
      <c r="AL14" s="345">
        <v>0</v>
      </c>
      <c r="AM14" s="348">
        <v>18.556684000000001</v>
      </c>
      <c r="AN14" s="348">
        <v>7282.9786852700008</v>
      </c>
      <c r="AO14" s="348">
        <v>7282.9786852700008</v>
      </c>
      <c r="AP14" s="348">
        <v>970.75</v>
      </c>
      <c r="AQ14" s="348">
        <v>970.75</v>
      </c>
      <c r="AR14" s="345">
        <v>0</v>
      </c>
      <c r="AS14" s="345">
        <v>0</v>
      </c>
    </row>
    <row r="15" spans="1:47" hidden="1" x14ac:dyDescent="0.25">
      <c r="A15" s="284" t="s">
        <v>38</v>
      </c>
      <c r="B15" s="345">
        <v>0</v>
      </c>
      <c r="C15" s="345">
        <v>0</v>
      </c>
      <c r="D15" s="348">
        <v>1047.8293823700001</v>
      </c>
      <c r="E15" s="345">
        <v>0</v>
      </c>
      <c r="F15" s="348">
        <v>6.65</v>
      </c>
      <c r="G15" s="345">
        <v>0</v>
      </c>
      <c r="H15" s="348">
        <v>40.299999999999997</v>
      </c>
      <c r="I15" s="345">
        <v>0</v>
      </c>
      <c r="J15" s="348">
        <v>92.538601</v>
      </c>
      <c r="K15" s="345">
        <v>0</v>
      </c>
      <c r="L15" s="348">
        <v>166.41703203999998</v>
      </c>
      <c r="M15" s="345">
        <v>0</v>
      </c>
      <c r="N15" s="348">
        <v>1231.3958009999999</v>
      </c>
      <c r="O15" s="345">
        <v>0</v>
      </c>
      <c r="P15" s="348">
        <v>32.598239999999997</v>
      </c>
      <c r="Q15" s="345">
        <v>0</v>
      </c>
      <c r="R15" s="345">
        <v>0</v>
      </c>
      <c r="S15" s="345">
        <v>0</v>
      </c>
      <c r="T15" s="348">
        <v>117.245</v>
      </c>
      <c r="U15" s="345">
        <v>0</v>
      </c>
      <c r="V15" s="348">
        <v>451.22532798999998</v>
      </c>
      <c r="W15" s="345">
        <v>0</v>
      </c>
      <c r="X15" s="348">
        <v>7.6</v>
      </c>
      <c r="Y15" s="345">
        <v>0</v>
      </c>
      <c r="Z15" s="348">
        <v>4086.7334300000002</v>
      </c>
      <c r="AA15" s="345">
        <v>0</v>
      </c>
      <c r="AB15" s="348">
        <v>2.0790000000000002</v>
      </c>
      <c r="AC15" s="345">
        <v>0</v>
      </c>
      <c r="AD15" s="348">
        <v>6.15</v>
      </c>
      <c r="AE15" s="345">
        <v>0</v>
      </c>
      <c r="AF15" s="348">
        <v>24270.07036301</v>
      </c>
      <c r="AG15" s="345">
        <v>0</v>
      </c>
      <c r="AH15" s="345">
        <v>0</v>
      </c>
      <c r="AI15" s="348">
        <v>17309.567676999999</v>
      </c>
      <c r="AJ15" s="345">
        <v>0</v>
      </c>
      <c r="AK15" s="348">
        <v>12865.669271659999</v>
      </c>
      <c r="AL15" s="345">
        <v>0</v>
      </c>
      <c r="AM15" s="348">
        <v>18.556684000000001</v>
      </c>
      <c r="AN15" s="345">
        <v>0</v>
      </c>
      <c r="AO15" s="345">
        <v>0</v>
      </c>
      <c r="AP15" s="345">
        <v>0</v>
      </c>
      <c r="AQ15" s="345">
        <v>0</v>
      </c>
      <c r="AR15" s="345">
        <v>0</v>
      </c>
      <c r="AS15" s="348">
        <v>1365.03854475</v>
      </c>
    </row>
    <row r="16" spans="1:47" x14ac:dyDescent="0.25">
      <c r="A16" s="284" t="s">
        <v>39</v>
      </c>
      <c r="B16" s="345">
        <v>0</v>
      </c>
      <c r="C16" s="345">
        <v>0</v>
      </c>
      <c r="D16" s="348">
        <v>1047.8293823700001</v>
      </c>
      <c r="E16" s="345">
        <v>0</v>
      </c>
      <c r="F16" s="348">
        <v>6.65</v>
      </c>
      <c r="G16" s="345">
        <v>0</v>
      </c>
      <c r="H16" s="348">
        <v>40.299999999999997</v>
      </c>
      <c r="I16" s="345">
        <v>0</v>
      </c>
      <c r="J16" s="348">
        <v>92.538601</v>
      </c>
      <c r="K16" s="345">
        <v>0</v>
      </c>
      <c r="L16" s="348">
        <v>166.41703203999998</v>
      </c>
      <c r="M16" s="345">
        <v>0</v>
      </c>
      <c r="N16" s="348">
        <v>1231.3958009999999</v>
      </c>
      <c r="O16" s="345">
        <v>0</v>
      </c>
      <c r="P16" s="348">
        <v>32.598239999999997</v>
      </c>
      <c r="Q16" s="345">
        <v>0</v>
      </c>
      <c r="R16" s="345">
        <v>0</v>
      </c>
      <c r="S16" s="345">
        <v>0</v>
      </c>
      <c r="T16" s="348">
        <v>117.245</v>
      </c>
      <c r="U16" s="345">
        <v>0</v>
      </c>
      <c r="V16" s="348">
        <v>451.22532798999998</v>
      </c>
      <c r="W16" s="345">
        <v>0</v>
      </c>
      <c r="X16" s="348">
        <v>7.6</v>
      </c>
      <c r="Y16" s="345">
        <v>0</v>
      </c>
      <c r="Z16" s="348">
        <v>4086.7334300000002</v>
      </c>
      <c r="AA16" s="345">
        <v>0</v>
      </c>
      <c r="AB16" s="348">
        <v>2.0790000000000002</v>
      </c>
      <c r="AC16" s="345">
        <v>0</v>
      </c>
      <c r="AD16" s="348">
        <v>6.15</v>
      </c>
      <c r="AE16" s="345">
        <v>0</v>
      </c>
      <c r="AF16" s="348">
        <v>24270.07036301</v>
      </c>
      <c r="AG16" s="345">
        <v>0</v>
      </c>
      <c r="AH16" s="345">
        <v>0</v>
      </c>
      <c r="AI16" s="348">
        <v>17309.567676999999</v>
      </c>
      <c r="AJ16" s="345">
        <v>0</v>
      </c>
      <c r="AK16" s="348">
        <v>12865.669271659999</v>
      </c>
      <c r="AL16" s="345">
        <v>0</v>
      </c>
      <c r="AM16" s="348">
        <v>18.556684000000001</v>
      </c>
      <c r="AN16" s="345">
        <v>0</v>
      </c>
      <c r="AO16" s="345">
        <v>0</v>
      </c>
      <c r="AP16" s="345">
        <v>0</v>
      </c>
      <c r="AQ16" s="345">
        <v>0</v>
      </c>
      <c r="AR16" s="345">
        <v>0</v>
      </c>
      <c r="AS16" s="348">
        <v>1365.03854475</v>
      </c>
      <c r="AU16">
        <f>SUBTOTAL(9,F16:AG16)</f>
        <v>30511.00279504</v>
      </c>
    </row>
    <row r="17" spans="1:47" hidden="1" x14ac:dyDescent="0.25">
      <c r="A17" s="155">
        <v>1</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s="487">
        <v>0</v>
      </c>
    </row>
    <row r="18" spans="1:47" hidden="1" x14ac:dyDescent="0.25">
      <c r="A18" s="155" t="s">
        <v>40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s="487">
        <v>0</v>
      </c>
    </row>
    <row r="19" spans="1:47" hidden="1" x14ac:dyDescent="0.25">
      <c r="A19" s="284" t="s">
        <v>36</v>
      </c>
      <c r="B19" s="345">
        <v>0</v>
      </c>
      <c r="C19" s="345">
        <v>0</v>
      </c>
      <c r="D19" s="348">
        <v>148.13824600000001</v>
      </c>
      <c r="E19" s="345">
        <v>0</v>
      </c>
      <c r="F19" s="345">
        <v>0</v>
      </c>
      <c r="G19" s="345">
        <v>0</v>
      </c>
      <c r="H19" s="345">
        <v>0</v>
      </c>
      <c r="I19" s="345">
        <v>0</v>
      </c>
      <c r="J19" s="345">
        <v>0</v>
      </c>
      <c r="K19" s="345">
        <v>0</v>
      </c>
      <c r="L19" s="345">
        <v>0</v>
      </c>
      <c r="M19" s="345">
        <v>0</v>
      </c>
      <c r="N19" s="345">
        <v>0</v>
      </c>
      <c r="O19" s="345">
        <v>0</v>
      </c>
      <c r="P19" s="345">
        <v>0</v>
      </c>
      <c r="Q19" s="345">
        <v>0</v>
      </c>
      <c r="R19" s="345">
        <v>0</v>
      </c>
      <c r="S19" s="345">
        <v>0</v>
      </c>
      <c r="T19" s="345">
        <v>0</v>
      </c>
      <c r="U19" s="345">
        <v>0</v>
      </c>
      <c r="V19" s="345">
        <v>0</v>
      </c>
      <c r="W19" s="345">
        <v>0</v>
      </c>
      <c r="X19" s="345">
        <v>0</v>
      </c>
      <c r="Y19" s="345">
        <v>0</v>
      </c>
      <c r="Z19" s="345">
        <v>0</v>
      </c>
      <c r="AA19" s="345">
        <v>0</v>
      </c>
      <c r="AB19" s="345">
        <v>0</v>
      </c>
      <c r="AC19" s="345">
        <v>0</v>
      </c>
      <c r="AD19" s="345">
        <v>0</v>
      </c>
      <c r="AE19" s="345">
        <v>0</v>
      </c>
      <c r="AF19" s="345">
        <v>0</v>
      </c>
      <c r="AG19" s="345">
        <v>0</v>
      </c>
      <c r="AH19" s="345">
        <v>0</v>
      </c>
      <c r="AI19" s="345">
        <v>0</v>
      </c>
      <c r="AJ19" s="345">
        <v>0</v>
      </c>
      <c r="AK19" s="345">
        <v>0</v>
      </c>
      <c r="AL19" s="345">
        <v>0</v>
      </c>
      <c r="AM19" s="345">
        <v>0</v>
      </c>
      <c r="AN19" s="345">
        <v>0</v>
      </c>
      <c r="AO19" s="345">
        <v>0</v>
      </c>
      <c r="AP19" s="345">
        <v>0</v>
      </c>
      <c r="AQ19" s="345">
        <v>0</v>
      </c>
      <c r="AR19" s="345">
        <v>0</v>
      </c>
      <c r="AS19" s="348">
        <v>148.13824600000001</v>
      </c>
    </row>
    <row r="20" spans="1:47" hidden="1" x14ac:dyDescent="0.25">
      <c r="A20" s="284" t="s">
        <v>37</v>
      </c>
      <c r="B20" s="348">
        <v>1172.2298796199998</v>
      </c>
      <c r="C20" s="348">
        <v>1172.2298796199998</v>
      </c>
      <c r="D20" s="348">
        <v>1172.2298796199998</v>
      </c>
      <c r="E20" s="348">
        <v>1300.7222196099999</v>
      </c>
      <c r="F20" s="345">
        <v>0</v>
      </c>
      <c r="G20" s="345">
        <v>0</v>
      </c>
      <c r="H20" s="345">
        <v>0</v>
      </c>
      <c r="I20" s="345">
        <v>0</v>
      </c>
      <c r="J20" s="345">
        <v>0</v>
      </c>
      <c r="K20" s="345">
        <v>0</v>
      </c>
      <c r="L20" s="348">
        <v>126.897032</v>
      </c>
      <c r="M20" s="345">
        <v>0</v>
      </c>
      <c r="N20" s="345">
        <v>0</v>
      </c>
      <c r="O20" s="345">
        <v>0</v>
      </c>
      <c r="P20" s="345">
        <v>0</v>
      </c>
      <c r="Q20" s="345">
        <v>0</v>
      </c>
      <c r="R20" s="348">
        <v>1.844444</v>
      </c>
      <c r="S20" s="348">
        <v>1.844444</v>
      </c>
      <c r="T20" s="348">
        <v>117.245</v>
      </c>
      <c r="U20" s="345">
        <v>0</v>
      </c>
      <c r="V20" s="348">
        <v>497.09076361000001</v>
      </c>
      <c r="W20" s="348">
        <v>117.06543562</v>
      </c>
      <c r="X20" s="345">
        <v>0</v>
      </c>
      <c r="Y20" s="345">
        <v>0</v>
      </c>
      <c r="Z20" s="345">
        <v>0</v>
      </c>
      <c r="AA20" s="345">
        <v>0</v>
      </c>
      <c r="AB20" s="345">
        <v>0</v>
      </c>
      <c r="AC20" s="345">
        <v>0</v>
      </c>
      <c r="AD20" s="345">
        <v>0</v>
      </c>
      <c r="AE20" s="345">
        <v>0</v>
      </c>
      <c r="AF20" s="348">
        <v>557.64498000000003</v>
      </c>
      <c r="AG20" s="345">
        <v>0</v>
      </c>
      <c r="AH20" s="345">
        <v>0</v>
      </c>
      <c r="AI20" s="348">
        <v>1053.32</v>
      </c>
      <c r="AJ20" s="345">
        <v>0</v>
      </c>
      <c r="AK20" s="345">
        <v>0</v>
      </c>
      <c r="AL20" s="345">
        <v>0</v>
      </c>
      <c r="AM20" s="345">
        <v>0</v>
      </c>
      <c r="AN20" s="348">
        <v>1172.2298796199998</v>
      </c>
      <c r="AO20" s="348">
        <v>1172.2298796199998</v>
      </c>
      <c r="AP20" s="345">
        <v>0</v>
      </c>
      <c r="AQ20" s="345">
        <v>0</v>
      </c>
      <c r="AR20" s="345">
        <v>0</v>
      </c>
      <c r="AS20" s="345">
        <v>0</v>
      </c>
    </row>
    <row r="21" spans="1:47" hidden="1" x14ac:dyDescent="0.25">
      <c r="A21" s="284" t="s">
        <v>38</v>
      </c>
      <c r="B21" s="345">
        <v>0</v>
      </c>
      <c r="C21" s="345">
        <v>0</v>
      </c>
      <c r="D21" s="348">
        <v>19.645906010000001</v>
      </c>
      <c r="E21" s="345">
        <v>0</v>
      </c>
      <c r="F21" s="345">
        <v>0</v>
      </c>
      <c r="G21" s="345">
        <v>0</v>
      </c>
      <c r="H21" s="345">
        <v>0</v>
      </c>
      <c r="I21" s="345">
        <v>0</v>
      </c>
      <c r="J21" s="345">
        <v>0</v>
      </c>
      <c r="K21" s="345">
        <v>0</v>
      </c>
      <c r="L21" s="348">
        <v>126.897032</v>
      </c>
      <c r="M21" s="345">
        <v>0</v>
      </c>
      <c r="N21" s="345">
        <v>0</v>
      </c>
      <c r="O21" s="345">
        <v>0</v>
      </c>
      <c r="P21" s="345">
        <v>0</v>
      </c>
      <c r="Q21" s="345">
        <v>0</v>
      </c>
      <c r="R21" s="345">
        <v>0</v>
      </c>
      <c r="S21" s="345">
        <v>0</v>
      </c>
      <c r="T21" s="348">
        <v>117.245</v>
      </c>
      <c r="U21" s="345">
        <v>0</v>
      </c>
      <c r="V21" s="348">
        <v>380.02532798999999</v>
      </c>
      <c r="W21" s="345">
        <v>0</v>
      </c>
      <c r="X21" s="345">
        <v>0</v>
      </c>
      <c r="Y21" s="345">
        <v>0</v>
      </c>
      <c r="Z21" s="345">
        <v>0</v>
      </c>
      <c r="AA21" s="345">
        <v>0</v>
      </c>
      <c r="AB21" s="345">
        <v>0</v>
      </c>
      <c r="AC21" s="345">
        <v>0</v>
      </c>
      <c r="AD21" s="345">
        <v>0</v>
      </c>
      <c r="AE21" s="345">
        <v>0</v>
      </c>
      <c r="AF21" s="348">
        <v>557.64498000000003</v>
      </c>
      <c r="AG21" s="345">
        <v>0</v>
      </c>
      <c r="AH21" s="345">
        <v>0</v>
      </c>
      <c r="AI21" s="348">
        <v>1053.32</v>
      </c>
      <c r="AJ21" s="345">
        <v>0</v>
      </c>
      <c r="AK21" s="345">
        <v>0</v>
      </c>
      <c r="AL21" s="345">
        <v>0</v>
      </c>
      <c r="AM21" s="345">
        <v>0</v>
      </c>
      <c r="AN21" s="345">
        <v>0</v>
      </c>
      <c r="AO21" s="345">
        <v>0</v>
      </c>
      <c r="AP21" s="345">
        <v>0</v>
      </c>
      <c r="AQ21" s="345">
        <v>0</v>
      </c>
      <c r="AR21" s="345">
        <v>0</v>
      </c>
      <c r="AS21" s="348">
        <v>148.13824600000001</v>
      </c>
    </row>
    <row r="22" spans="1:47" x14ac:dyDescent="0.25">
      <c r="A22" s="284" t="s">
        <v>39</v>
      </c>
      <c r="B22" s="345">
        <v>0</v>
      </c>
      <c r="C22" s="345">
        <v>0</v>
      </c>
      <c r="D22" s="348">
        <v>19.645906010000001</v>
      </c>
      <c r="E22" s="345">
        <v>0</v>
      </c>
      <c r="F22" s="345">
        <v>0</v>
      </c>
      <c r="G22" s="345">
        <v>0</v>
      </c>
      <c r="H22" s="345">
        <v>0</v>
      </c>
      <c r="I22" s="345">
        <v>0</v>
      </c>
      <c r="J22" s="345">
        <v>0</v>
      </c>
      <c r="K22" s="345">
        <v>0</v>
      </c>
      <c r="L22" s="348">
        <v>126.897032</v>
      </c>
      <c r="M22" s="345">
        <v>0</v>
      </c>
      <c r="N22" s="345">
        <v>0</v>
      </c>
      <c r="O22" s="345">
        <v>0</v>
      </c>
      <c r="P22" s="345">
        <v>0</v>
      </c>
      <c r="Q22" s="345">
        <v>0</v>
      </c>
      <c r="R22" s="345">
        <v>0</v>
      </c>
      <c r="S22" s="345">
        <v>0</v>
      </c>
      <c r="T22" s="348">
        <v>117.245</v>
      </c>
      <c r="U22" s="345">
        <v>0</v>
      </c>
      <c r="V22" s="348">
        <v>380.02532798999999</v>
      </c>
      <c r="W22" s="345">
        <v>0</v>
      </c>
      <c r="X22" s="345">
        <v>0</v>
      </c>
      <c r="Y22" s="345">
        <v>0</v>
      </c>
      <c r="Z22" s="345">
        <v>0</v>
      </c>
      <c r="AA22" s="345">
        <v>0</v>
      </c>
      <c r="AB22" s="345">
        <v>0</v>
      </c>
      <c r="AC22" s="345">
        <v>0</v>
      </c>
      <c r="AD22" s="345">
        <v>0</v>
      </c>
      <c r="AE22" s="345">
        <v>0</v>
      </c>
      <c r="AF22" s="348">
        <v>557.64498000000003</v>
      </c>
      <c r="AG22" s="345">
        <v>0</v>
      </c>
      <c r="AH22" s="345">
        <v>0</v>
      </c>
      <c r="AI22" s="348">
        <v>1053.32</v>
      </c>
      <c r="AJ22" s="345">
        <v>0</v>
      </c>
      <c r="AK22" s="345">
        <v>0</v>
      </c>
      <c r="AL22" s="345">
        <v>0</v>
      </c>
      <c r="AM22" s="345">
        <v>0</v>
      </c>
      <c r="AN22" s="345">
        <v>0</v>
      </c>
      <c r="AO22" s="345">
        <v>0</v>
      </c>
      <c r="AP22" s="345">
        <v>0</v>
      </c>
      <c r="AQ22" s="345">
        <v>0</v>
      </c>
      <c r="AR22" s="345">
        <v>0</v>
      </c>
      <c r="AS22" s="348">
        <v>148.13824600000001</v>
      </c>
      <c r="AU22">
        <f>SUBTOTAL(9,F22:AG22)</f>
        <v>1181.8123399900001</v>
      </c>
    </row>
    <row r="23" spans="1:47" hidden="1" x14ac:dyDescent="0.25">
      <c r="A23" s="155">
        <v>1</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s="487">
        <v>0</v>
      </c>
    </row>
    <row r="24" spans="1:47" hidden="1" x14ac:dyDescent="0.25">
      <c r="A24" s="155" t="s">
        <v>41</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s="487">
        <v>0</v>
      </c>
    </row>
    <row r="25" spans="1:47" hidden="1" x14ac:dyDescent="0.25">
      <c r="A25" s="284" t="s">
        <v>36</v>
      </c>
      <c r="B25" s="345">
        <v>0</v>
      </c>
      <c r="C25" s="345">
        <v>0</v>
      </c>
      <c r="D25" s="348">
        <v>95.317577569999997</v>
      </c>
      <c r="E25" s="345">
        <v>0</v>
      </c>
      <c r="F25" s="345">
        <v>0</v>
      </c>
      <c r="G25" s="345">
        <v>0</v>
      </c>
      <c r="H25" s="345">
        <v>0</v>
      </c>
      <c r="I25" s="345">
        <v>0</v>
      </c>
      <c r="J25" s="345">
        <v>0</v>
      </c>
      <c r="K25" s="345">
        <v>0</v>
      </c>
      <c r="L25" s="345">
        <v>0</v>
      </c>
      <c r="M25" s="345">
        <v>0</v>
      </c>
      <c r="N25" s="345">
        <v>0</v>
      </c>
      <c r="O25" s="345">
        <v>0</v>
      </c>
      <c r="P25" s="345">
        <v>0</v>
      </c>
      <c r="Q25" s="345">
        <v>0</v>
      </c>
      <c r="R25" s="345">
        <v>0</v>
      </c>
      <c r="S25" s="345">
        <v>0</v>
      </c>
      <c r="T25" s="345">
        <v>0</v>
      </c>
      <c r="U25" s="345">
        <v>0</v>
      </c>
      <c r="V25" s="345">
        <v>0</v>
      </c>
      <c r="W25" s="345">
        <v>0</v>
      </c>
      <c r="X25" s="345">
        <v>0</v>
      </c>
      <c r="Y25" s="345">
        <v>0</v>
      </c>
      <c r="Z25" s="345">
        <v>0</v>
      </c>
      <c r="AA25" s="345">
        <v>0</v>
      </c>
      <c r="AB25" s="345">
        <v>0</v>
      </c>
      <c r="AC25" s="345">
        <v>0</v>
      </c>
      <c r="AD25" s="345">
        <v>0</v>
      </c>
      <c r="AE25" s="345">
        <v>0</v>
      </c>
      <c r="AF25" s="345">
        <v>0</v>
      </c>
      <c r="AG25" s="345">
        <v>0</v>
      </c>
      <c r="AH25" s="345">
        <v>0</v>
      </c>
      <c r="AI25" s="345">
        <v>0</v>
      </c>
      <c r="AJ25" s="345">
        <v>0</v>
      </c>
      <c r="AK25" s="345">
        <v>0</v>
      </c>
      <c r="AL25" s="345">
        <v>0</v>
      </c>
      <c r="AM25" s="345">
        <v>0</v>
      </c>
      <c r="AN25" s="345">
        <v>0</v>
      </c>
      <c r="AO25" s="345">
        <v>0</v>
      </c>
      <c r="AP25" s="345">
        <v>0</v>
      </c>
      <c r="AQ25" s="345">
        <v>0</v>
      </c>
      <c r="AR25" s="345">
        <v>0</v>
      </c>
      <c r="AS25" s="348">
        <v>95.317577569999997</v>
      </c>
    </row>
    <row r="26" spans="1:47" hidden="1" x14ac:dyDescent="0.25">
      <c r="A26" s="284" t="s">
        <v>37</v>
      </c>
      <c r="B26" s="348">
        <v>1342.8983220099999</v>
      </c>
      <c r="C26" s="348">
        <v>1342.8983220099999</v>
      </c>
      <c r="D26" s="348">
        <v>4180.1029306099999</v>
      </c>
      <c r="E26" s="348">
        <v>4103.5740220100006</v>
      </c>
      <c r="F26" s="345">
        <v>0</v>
      </c>
      <c r="G26" s="345">
        <v>0</v>
      </c>
      <c r="H26" s="345">
        <v>0</v>
      </c>
      <c r="I26" s="345">
        <v>0</v>
      </c>
      <c r="J26" s="345">
        <v>0</v>
      </c>
      <c r="K26" s="345">
        <v>0</v>
      </c>
      <c r="L26" s="345">
        <v>0</v>
      </c>
      <c r="M26" s="345">
        <v>0</v>
      </c>
      <c r="N26" s="345">
        <v>0</v>
      </c>
      <c r="O26" s="345">
        <v>0</v>
      </c>
      <c r="P26" s="345">
        <v>0</v>
      </c>
      <c r="Q26" s="345">
        <v>0</v>
      </c>
      <c r="R26" s="345">
        <v>0</v>
      </c>
      <c r="S26" s="345">
        <v>0</v>
      </c>
      <c r="T26" s="345">
        <v>0</v>
      </c>
      <c r="U26" s="345">
        <v>0</v>
      </c>
      <c r="V26" s="345">
        <v>0</v>
      </c>
      <c r="W26" s="345">
        <v>0</v>
      </c>
      <c r="X26" s="345">
        <v>0</v>
      </c>
      <c r="Y26" s="345">
        <v>0</v>
      </c>
      <c r="Z26" s="348">
        <v>384.46</v>
      </c>
      <c r="AA26" s="345">
        <v>0</v>
      </c>
      <c r="AB26" s="345">
        <v>0</v>
      </c>
      <c r="AC26" s="345">
        <v>0</v>
      </c>
      <c r="AD26" s="348">
        <v>1</v>
      </c>
      <c r="AE26" s="345">
        <v>0</v>
      </c>
      <c r="AF26" s="348">
        <v>3715.6457680100002</v>
      </c>
      <c r="AG26" s="348">
        <v>248.03352200999998</v>
      </c>
      <c r="AH26" s="345">
        <v>0</v>
      </c>
      <c r="AI26" s="348">
        <v>1244.8</v>
      </c>
      <c r="AJ26" s="348">
        <v>2.4682539999999999</v>
      </c>
      <c r="AK26" s="348">
        <v>2687.2694085999997</v>
      </c>
      <c r="AL26" s="345">
        <v>0</v>
      </c>
      <c r="AM26" s="345">
        <v>0</v>
      </c>
      <c r="AN26" s="348">
        <v>1342.8983220099999</v>
      </c>
      <c r="AO26" s="348">
        <v>1342.8983220099999</v>
      </c>
      <c r="AP26" s="345">
        <v>0</v>
      </c>
      <c r="AQ26" s="345">
        <v>0</v>
      </c>
      <c r="AR26" s="345">
        <v>0</v>
      </c>
      <c r="AS26" s="345">
        <v>0</v>
      </c>
    </row>
    <row r="27" spans="1:47" hidden="1" x14ac:dyDescent="0.25">
      <c r="A27" s="284" t="s">
        <v>38</v>
      </c>
      <c r="B27" s="345">
        <v>0</v>
      </c>
      <c r="C27" s="345">
        <v>0</v>
      </c>
      <c r="D27" s="348">
        <v>171.84648616999999</v>
      </c>
      <c r="E27" s="345">
        <v>0</v>
      </c>
      <c r="F27" s="345">
        <v>0</v>
      </c>
      <c r="G27" s="345">
        <v>0</v>
      </c>
      <c r="H27" s="345">
        <v>0</v>
      </c>
      <c r="I27" s="345">
        <v>0</v>
      </c>
      <c r="J27" s="345">
        <v>0</v>
      </c>
      <c r="K27" s="345">
        <v>0</v>
      </c>
      <c r="L27" s="345">
        <v>0</v>
      </c>
      <c r="M27" s="345">
        <v>0</v>
      </c>
      <c r="N27" s="345">
        <v>0</v>
      </c>
      <c r="O27" s="345">
        <v>0</v>
      </c>
      <c r="P27" s="345">
        <v>0</v>
      </c>
      <c r="Q27" s="345">
        <v>0</v>
      </c>
      <c r="R27" s="345">
        <v>0</v>
      </c>
      <c r="S27" s="345">
        <v>0</v>
      </c>
      <c r="T27" s="345">
        <v>0</v>
      </c>
      <c r="U27" s="345">
        <v>0</v>
      </c>
      <c r="V27" s="345">
        <v>0</v>
      </c>
      <c r="W27" s="345">
        <v>0</v>
      </c>
      <c r="X27" s="345">
        <v>0</v>
      </c>
      <c r="Y27" s="345">
        <v>0</v>
      </c>
      <c r="Z27" s="348">
        <v>384.46</v>
      </c>
      <c r="AA27" s="345">
        <v>0</v>
      </c>
      <c r="AB27" s="345">
        <v>0</v>
      </c>
      <c r="AC27" s="345">
        <v>0</v>
      </c>
      <c r="AD27" s="348">
        <v>1</v>
      </c>
      <c r="AE27" s="345">
        <v>0</v>
      </c>
      <c r="AF27" s="348">
        <v>3467.6122460000001</v>
      </c>
      <c r="AG27" s="345">
        <v>0</v>
      </c>
      <c r="AH27" s="345">
        <v>0</v>
      </c>
      <c r="AI27" s="348">
        <v>1244.8</v>
      </c>
      <c r="AJ27" s="345">
        <v>0</v>
      </c>
      <c r="AK27" s="348">
        <v>2684.8011545999998</v>
      </c>
      <c r="AL27" s="345">
        <v>0</v>
      </c>
      <c r="AM27" s="345">
        <v>0</v>
      </c>
      <c r="AN27" s="345">
        <v>0</v>
      </c>
      <c r="AO27" s="345">
        <v>0</v>
      </c>
      <c r="AP27" s="345">
        <v>0</v>
      </c>
      <c r="AQ27" s="345">
        <v>0</v>
      </c>
      <c r="AR27" s="345">
        <v>0</v>
      </c>
      <c r="AS27" s="348">
        <v>95.317577569999997</v>
      </c>
    </row>
    <row r="28" spans="1:47" x14ac:dyDescent="0.25">
      <c r="A28" s="284" t="s">
        <v>39</v>
      </c>
      <c r="B28" s="345">
        <v>0</v>
      </c>
      <c r="C28" s="345">
        <v>0</v>
      </c>
      <c r="D28" s="348">
        <v>171.84648616999999</v>
      </c>
      <c r="E28" s="345">
        <v>0</v>
      </c>
      <c r="F28" s="345">
        <v>0</v>
      </c>
      <c r="G28" s="345">
        <v>0</v>
      </c>
      <c r="H28" s="345">
        <v>0</v>
      </c>
      <c r="I28" s="345">
        <v>0</v>
      </c>
      <c r="J28" s="345">
        <v>0</v>
      </c>
      <c r="K28" s="345">
        <v>0</v>
      </c>
      <c r="L28" s="345">
        <v>0</v>
      </c>
      <c r="M28" s="345">
        <v>0</v>
      </c>
      <c r="N28" s="345">
        <v>0</v>
      </c>
      <c r="O28" s="345">
        <v>0</v>
      </c>
      <c r="P28" s="345">
        <v>0</v>
      </c>
      <c r="Q28" s="345">
        <v>0</v>
      </c>
      <c r="R28" s="345">
        <v>0</v>
      </c>
      <c r="S28" s="345">
        <v>0</v>
      </c>
      <c r="T28" s="345">
        <v>0</v>
      </c>
      <c r="U28" s="345">
        <v>0</v>
      </c>
      <c r="V28" s="345">
        <v>0</v>
      </c>
      <c r="W28" s="345">
        <v>0</v>
      </c>
      <c r="X28" s="345">
        <v>0</v>
      </c>
      <c r="Y28" s="345">
        <v>0</v>
      </c>
      <c r="Z28" s="348">
        <v>384.46</v>
      </c>
      <c r="AA28" s="345">
        <v>0</v>
      </c>
      <c r="AB28" s="345">
        <v>0</v>
      </c>
      <c r="AC28" s="345">
        <v>0</v>
      </c>
      <c r="AD28" s="348">
        <v>1</v>
      </c>
      <c r="AE28" s="345">
        <v>0</v>
      </c>
      <c r="AF28" s="348">
        <v>3467.6122460000001</v>
      </c>
      <c r="AG28" s="345">
        <v>0</v>
      </c>
      <c r="AH28" s="345">
        <v>0</v>
      </c>
      <c r="AI28" s="348">
        <v>1244.8</v>
      </c>
      <c r="AJ28" s="345">
        <v>0</v>
      </c>
      <c r="AK28" s="348">
        <v>2684.8011545999998</v>
      </c>
      <c r="AL28" s="345">
        <v>0</v>
      </c>
      <c r="AM28" s="345">
        <v>0</v>
      </c>
      <c r="AN28" s="345">
        <v>0</v>
      </c>
      <c r="AO28" s="345">
        <v>0</v>
      </c>
      <c r="AP28" s="345">
        <v>0</v>
      </c>
      <c r="AQ28" s="345">
        <v>0</v>
      </c>
      <c r="AR28" s="345">
        <v>0</v>
      </c>
      <c r="AS28" s="348">
        <v>95.317577569999997</v>
      </c>
      <c r="AU28">
        <f>SUBTOTAL(9,F28:AG28)</f>
        <v>3853.0722460000002</v>
      </c>
    </row>
    <row r="29" spans="1:47" hidden="1" x14ac:dyDescent="0.25">
      <c r="A29" s="155">
        <v>1</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s="487">
        <v>0</v>
      </c>
    </row>
    <row r="30" spans="1:47" hidden="1" x14ac:dyDescent="0.25">
      <c r="A30" s="155" t="s">
        <v>42</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s="487">
        <v>0</v>
      </c>
    </row>
    <row r="31" spans="1:47" hidden="1" x14ac:dyDescent="0.25">
      <c r="A31" s="284" t="s">
        <v>36</v>
      </c>
      <c r="B31" s="345">
        <v>0</v>
      </c>
      <c r="C31" s="345">
        <v>0</v>
      </c>
      <c r="D31" s="348">
        <v>59.314208170000001</v>
      </c>
      <c r="E31" s="345">
        <v>0</v>
      </c>
      <c r="F31" s="345">
        <v>0</v>
      </c>
      <c r="G31" s="345">
        <v>0</v>
      </c>
      <c r="H31" s="345">
        <v>0</v>
      </c>
      <c r="I31" s="345">
        <v>0</v>
      </c>
      <c r="J31" s="345">
        <v>0</v>
      </c>
      <c r="K31" s="345">
        <v>0</v>
      </c>
      <c r="L31" s="345">
        <v>0</v>
      </c>
      <c r="M31" s="345">
        <v>0</v>
      </c>
      <c r="N31" s="345">
        <v>0</v>
      </c>
      <c r="O31" s="345">
        <v>0</v>
      </c>
      <c r="P31" s="345">
        <v>0</v>
      </c>
      <c r="Q31" s="345">
        <v>0</v>
      </c>
      <c r="R31" s="345">
        <v>0</v>
      </c>
      <c r="S31" s="345">
        <v>0</v>
      </c>
      <c r="T31" s="345">
        <v>0</v>
      </c>
      <c r="U31" s="345">
        <v>0</v>
      </c>
      <c r="V31" s="345">
        <v>0</v>
      </c>
      <c r="W31" s="345">
        <v>0</v>
      </c>
      <c r="X31" s="345">
        <v>0</v>
      </c>
      <c r="Y31" s="345">
        <v>0</v>
      </c>
      <c r="Z31" s="345">
        <v>0</v>
      </c>
      <c r="AA31" s="345">
        <v>0</v>
      </c>
      <c r="AB31" s="345">
        <v>0</v>
      </c>
      <c r="AC31" s="345">
        <v>0</v>
      </c>
      <c r="AD31" s="345">
        <v>0</v>
      </c>
      <c r="AE31" s="345">
        <v>0</v>
      </c>
      <c r="AF31" s="345">
        <v>0</v>
      </c>
      <c r="AG31" s="345">
        <v>0</v>
      </c>
      <c r="AH31" s="345">
        <v>0</v>
      </c>
      <c r="AI31" s="345">
        <v>0</v>
      </c>
      <c r="AJ31" s="345">
        <v>0</v>
      </c>
      <c r="AK31" s="345">
        <v>0</v>
      </c>
      <c r="AL31" s="345">
        <v>0</v>
      </c>
      <c r="AM31" s="345">
        <v>0</v>
      </c>
      <c r="AN31" s="345">
        <v>0</v>
      </c>
      <c r="AO31" s="345">
        <v>0</v>
      </c>
      <c r="AP31" s="345">
        <v>0</v>
      </c>
      <c r="AQ31" s="345">
        <v>0</v>
      </c>
      <c r="AR31" s="345">
        <v>0</v>
      </c>
      <c r="AS31" s="348">
        <v>59.314208170000001</v>
      </c>
    </row>
    <row r="32" spans="1:47" hidden="1" x14ac:dyDescent="0.25">
      <c r="A32" s="284" t="s">
        <v>37</v>
      </c>
      <c r="B32" s="348">
        <v>109.16659906</v>
      </c>
      <c r="C32" s="348">
        <v>109.16659906</v>
      </c>
      <c r="D32" s="348">
        <v>2181.2431859000003</v>
      </c>
      <c r="E32" s="348">
        <v>2219.28319706</v>
      </c>
      <c r="F32" s="345">
        <v>0</v>
      </c>
      <c r="G32" s="345">
        <v>0</v>
      </c>
      <c r="H32" s="345">
        <v>0</v>
      </c>
      <c r="I32" s="345">
        <v>0</v>
      </c>
      <c r="J32" s="345">
        <v>0</v>
      </c>
      <c r="K32" s="345">
        <v>0</v>
      </c>
      <c r="L32" s="345">
        <v>0</v>
      </c>
      <c r="M32" s="345">
        <v>0</v>
      </c>
      <c r="N32" s="345">
        <v>0</v>
      </c>
      <c r="O32" s="345">
        <v>0</v>
      </c>
      <c r="P32" s="345">
        <v>0</v>
      </c>
      <c r="Q32" s="345">
        <v>0</v>
      </c>
      <c r="R32" s="345">
        <v>0</v>
      </c>
      <c r="S32" s="345">
        <v>0</v>
      </c>
      <c r="T32" s="345">
        <v>0</v>
      </c>
      <c r="U32" s="345">
        <v>0</v>
      </c>
      <c r="V32" s="345">
        <v>0</v>
      </c>
      <c r="W32" s="345">
        <v>0</v>
      </c>
      <c r="X32" s="345">
        <v>0</v>
      </c>
      <c r="Y32" s="345">
        <v>0</v>
      </c>
      <c r="Z32" s="345">
        <v>0</v>
      </c>
      <c r="AA32" s="345">
        <v>0</v>
      </c>
      <c r="AB32" s="345">
        <v>0</v>
      </c>
      <c r="AC32" s="345">
        <v>0</v>
      </c>
      <c r="AD32" s="348">
        <v>0.6</v>
      </c>
      <c r="AE32" s="345">
        <v>0</v>
      </c>
      <c r="AF32" s="348">
        <v>2218.44000706</v>
      </c>
      <c r="AG32" s="348">
        <v>104.80456606</v>
      </c>
      <c r="AH32" s="345">
        <v>0</v>
      </c>
      <c r="AI32" s="348">
        <v>1358.0319999999999</v>
      </c>
      <c r="AJ32" s="348">
        <v>0.24318999999999999</v>
      </c>
      <c r="AK32" s="348">
        <v>714.04458684000008</v>
      </c>
      <c r="AL32" s="345">
        <v>0</v>
      </c>
      <c r="AM32" s="348">
        <v>4.3620330000000003</v>
      </c>
      <c r="AN32" s="348">
        <v>109.16659906</v>
      </c>
      <c r="AO32" s="348">
        <v>109.16659906</v>
      </c>
      <c r="AP32" s="345">
        <v>0</v>
      </c>
      <c r="AQ32" s="345">
        <v>0</v>
      </c>
      <c r="AR32" s="345">
        <v>0</v>
      </c>
      <c r="AS32" s="345">
        <v>0</v>
      </c>
    </row>
    <row r="33" spans="1:47" hidden="1" x14ac:dyDescent="0.25">
      <c r="A33" s="284" t="s">
        <v>38</v>
      </c>
      <c r="B33" s="345">
        <v>0</v>
      </c>
      <c r="C33" s="345">
        <v>0</v>
      </c>
      <c r="D33" s="348">
        <v>21.274197010000002</v>
      </c>
      <c r="E33" s="345">
        <v>0</v>
      </c>
      <c r="F33" s="345">
        <v>0</v>
      </c>
      <c r="G33" s="345">
        <v>0</v>
      </c>
      <c r="H33" s="345">
        <v>0</v>
      </c>
      <c r="I33" s="345">
        <v>0</v>
      </c>
      <c r="J33" s="345">
        <v>0</v>
      </c>
      <c r="K33" s="345">
        <v>0</v>
      </c>
      <c r="L33" s="345">
        <v>0</v>
      </c>
      <c r="M33" s="345">
        <v>0</v>
      </c>
      <c r="N33" s="345">
        <v>0</v>
      </c>
      <c r="O33" s="345">
        <v>0</v>
      </c>
      <c r="P33" s="345">
        <v>0</v>
      </c>
      <c r="Q33" s="345">
        <v>0</v>
      </c>
      <c r="R33" s="345">
        <v>0</v>
      </c>
      <c r="S33" s="345">
        <v>0</v>
      </c>
      <c r="T33" s="345">
        <v>0</v>
      </c>
      <c r="U33" s="345">
        <v>0</v>
      </c>
      <c r="V33" s="345">
        <v>0</v>
      </c>
      <c r="W33" s="345">
        <v>0</v>
      </c>
      <c r="X33" s="345">
        <v>0</v>
      </c>
      <c r="Y33" s="345">
        <v>0</v>
      </c>
      <c r="Z33" s="345">
        <v>0</v>
      </c>
      <c r="AA33" s="345">
        <v>0</v>
      </c>
      <c r="AB33" s="345">
        <v>0</v>
      </c>
      <c r="AC33" s="345">
        <v>0</v>
      </c>
      <c r="AD33" s="348">
        <v>0.6</v>
      </c>
      <c r="AE33" s="345">
        <v>0</v>
      </c>
      <c r="AF33" s="348">
        <v>2113.6354409999999</v>
      </c>
      <c r="AG33" s="345">
        <v>0</v>
      </c>
      <c r="AH33" s="345">
        <v>0</v>
      </c>
      <c r="AI33" s="348">
        <v>1358.0319999999999</v>
      </c>
      <c r="AJ33" s="345">
        <v>0</v>
      </c>
      <c r="AK33" s="348">
        <v>713.80139684000005</v>
      </c>
      <c r="AL33" s="345">
        <v>0</v>
      </c>
      <c r="AM33" s="348">
        <v>4.3620330000000003</v>
      </c>
      <c r="AN33" s="345">
        <v>0</v>
      </c>
      <c r="AO33" s="345">
        <v>0</v>
      </c>
      <c r="AP33" s="345">
        <v>0</v>
      </c>
      <c r="AQ33" s="345">
        <v>0</v>
      </c>
      <c r="AR33" s="345">
        <v>0</v>
      </c>
      <c r="AS33" s="348">
        <v>59.314208170000001</v>
      </c>
    </row>
    <row r="34" spans="1:47" x14ac:dyDescent="0.25">
      <c r="A34" s="284" t="s">
        <v>39</v>
      </c>
      <c r="B34" s="345">
        <v>0</v>
      </c>
      <c r="C34" s="345">
        <v>0</v>
      </c>
      <c r="D34" s="348">
        <v>21.274197010000002</v>
      </c>
      <c r="E34" s="345">
        <v>0</v>
      </c>
      <c r="F34" s="345">
        <v>0</v>
      </c>
      <c r="G34" s="345">
        <v>0</v>
      </c>
      <c r="H34" s="345">
        <v>0</v>
      </c>
      <c r="I34" s="345">
        <v>0</v>
      </c>
      <c r="J34" s="345">
        <v>0</v>
      </c>
      <c r="K34" s="345">
        <v>0</v>
      </c>
      <c r="L34" s="345">
        <v>0</v>
      </c>
      <c r="M34" s="345">
        <v>0</v>
      </c>
      <c r="N34" s="345">
        <v>0</v>
      </c>
      <c r="O34" s="345">
        <v>0</v>
      </c>
      <c r="P34" s="345">
        <v>0</v>
      </c>
      <c r="Q34" s="345">
        <v>0</v>
      </c>
      <c r="R34" s="345">
        <v>0</v>
      </c>
      <c r="S34" s="345">
        <v>0</v>
      </c>
      <c r="T34" s="345">
        <v>0</v>
      </c>
      <c r="U34" s="345">
        <v>0</v>
      </c>
      <c r="V34" s="345">
        <v>0</v>
      </c>
      <c r="W34" s="345">
        <v>0</v>
      </c>
      <c r="X34" s="345">
        <v>0</v>
      </c>
      <c r="Y34" s="345">
        <v>0</v>
      </c>
      <c r="Z34" s="345">
        <v>0</v>
      </c>
      <c r="AA34" s="345">
        <v>0</v>
      </c>
      <c r="AB34" s="345">
        <v>0</v>
      </c>
      <c r="AC34" s="345">
        <v>0</v>
      </c>
      <c r="AD34" s="348">
        <v>0.6</v>
      </c>
      <c r="AE34" s="345">
        <v>0</v>
      </c>
      <c r="AF34" s="348">
        <v>2113.6354409999999</v>
      </c>
      <c r="AG34" s="345">
        <v>0</v>
      </c>
      <c r="AH34" s="345">
        <v>0</v>
      </c>
      <c r="AI34" s="348">
        <v>1358.0319999999999</v>
      </c>
      <c r="AJ34" s="345">
        <v>0</v>
      </c>
      <c r="AK34" s="348">
        <v>713.80139684000005</v>
      </c>
      <c r="AL34" s="345">
        <v>0</v>
      </c>
      <c r="AM34" s="348">
        <v>4.3620330000000003</v>
      </c>
      <c r="AN34" s="345">
        <v>0</v>
      </c>
      <c r="AO34" s="345">
        <v>0</v>
      </c>
      <c r="AP34" s="345">
        <v>0</v>
      </c>
      <c r="AQ34" s="345">
        <v>0</v>
      </c>
      <c r="AR34" s="345">
        <v>0</v>
      </c>
      <c r="AS34" s="348">
        <v>59.314208170000001</v>
      </c>
      <c r="AU34">
        <f>SUBTOTAL(9,F34:AG34)</f>
        <v>2114.2354409999998</v>
      </c>
    </row>
    <row r="35" spans="1:47" hidden="1" x14ac:dyDescent="0.25">
      <c r="A35" s="155">
        <v>1</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s="487">
        <v>0</v>
      </c>
    </row>
    <row r="36" spans="1:47" hidden="1" x14ac:dyDescent="0.25">
      <c r="A36" s="155" t="s">
        <v>43</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s="487">
        <v>0</v>
      </c>
    </row>
    <row r="37" spans="1:47" hidden="1" x14ac:dyDescent="0.25">
      <c r="A37" s="284" t="s">
        <v>36</v>
      </c>
      <c r="B37" s="345">
        <v>0</v>
      </c>
      <c r="C37" s="345">
        <v>0</v>
      </c>
      <c r="D37" s="348">
        <v>83.602549170000003</v>
      </c>
      <c r="E37" s="345">
        <v>0</v>
      </c>
      <c r="F37" s="345">
        <v>0</v>
      </c>
      <c r="G37" s="345">
        <v>0</v>
      </c>
      <c r="H37" s="345">
        <v>0</v>
      </c>
      <c r="I37" s="345">
        <v>0</v>
      </c>
      <c r="J37" s="345">
        <v>0</v>
      </c>
      <c r="K37" s="345">
        <v>0</v>
      </c>
      <c r="L37" s="345">
        <v>0</v>
      </c>
      <c r="M37" s="345">
        <v>0</v>
      </c>
      <c r="N37" s="345">
        <v>0</v>
      </c>
      <c r="O37" s="345">
        <v>0</v>
      </c>
      <c r="P37" s="345">
        <v>0</v>
      </c>
      <c r="Q37" s="345">
        <v>0</v>
      </c>
      <c r="R37" s="345">
        <v>0</v>
      </c>
      <c r="S37" s="345">
        <v>0</v>
      </c>
      <c r="T37" s="345">
        <v>0</v>
      </c>
      <c r="U37" s="345">
        <v>0</v>
      </c>
      <c r="V37" s="345">
        <v>0</v>
      </c>
      <c r="W37" s="345">
        <v>0</v>
      </c>
      <c r="X37" s="345">
        <v>0</v>
      </c>
      <c r="Y37" s="345">
        <v>0</v>
      </c>
      <c r="Z37" s="345">
        <v>0</v>
      </c>
      <c r="AA37" s="345">
        <v>0</v>
      </c>
      <c r="AB37" s="345">
        <v>0</v>
      </c>
      <c r="AC37" s="345">
        <v>0</v>
      </c>
      <c r="AD37" s="345">
        <v>0</v>
      </c>
      <c r="AE37" s="345">
        <v>0</v>
      </c>
      <c r="AF37" s="345">
        <v>0</v>
      </c>
      <c r="AG37" s="345">
        <v>0</v>
      </c>
      <c r="AH37" s="345">
        <v>0</v>
      </c>
      <c r="AI37" s="345">
        <v>0</v>
      </c>
      <c r="AJ37" s="345">
        <v>0</v>
      </c>
      <c r="AK37" s="345">
        <v>0</v>
      </c>
      <c r="AL37" s="345">
        <v>0</v>
      </c>
      <c r="AM37" s="345">
        <v>0</v>
      </c>
      <c r="AN37" s="345">
        <v>0</v>
      </c>
      <c r="AO37" s="345">
        <v>0</v>
      </c>
      <c r="AP37" s="345">
        <v>0</v>
      </c>
      <c r="AQ37" s="345">
        <v>0</v>
      </c>
      <c r="AR37" s="345">
        <v>0</v>
      </c>
      <c r="AS37" s="348">
        <v>83.602549170000003</v>
      </c>
    </row>
    <row r="38" spans="1:47" hidden="1" x14ac:dyDescent="0.25">
      <c r="A38" s="284" t="s">
        <v>37</v>
      </c>
      <c r="B38" s="348">
        <v>150.91130005000002</v>
      </c>
      <c r="C38" s="348">
        <v>150.91130005000002</v>
      </c>
      <c r="D38" s="348">
        <v>2351.67245791</v>
      </c>
      <c r="E38" s="348">
        <v>2228.4952431900001</v>
      </c>
      <c r="F38" s="345">
        <v>0</v>
      </c>
      <c r="G38" s="345">
        <v>0</v>
      </c>
      <c r="H38" s="345">
        <v>0</v>
      </c>
      <c r="I38" s="345">
        <v>0</v>
      </c>
      <c r="J38" s="345">
        <v>0</v>
      </c>
      <c r="K38" s="345">
        <v>0</v>
      </c>
      <c r="L38" s="348">
        <v>9.5700000900000006</v>
      </c>
      <c r="M38" s="348">
        <v>2.4000000499999996</v>
      </c>
      <c r="N38" s="345">
        <v>0</v>
      </c>
      <c r="O38" s="345">
        <v>0</v>
      </c>
      <c r="P38" s="345">
        <v>0</v>
      </c>
      <c r="Q38" s="345">
        <v>0</v>
      </c>
      <c r="R38" s="345">
        <v>0</v>
      </c>
      <c r="S38" s="345">
        <v>0</v>
      </c>
      <c r="T38" s="345">
        <v>0</v>
      </c>
      <c r="U38" s="345">
        <v>0</v>
      </c>
      <c r="V38" s="345">
        <v>0</v>
      </c>
      <c r="W38" s="345">
        <v>0</v>
      </c>
      <c r="X38" s="345">
        <v>0</v>
      </c>
      <c r="Y38" s="345">
        <v>0</v>
      </c>
      <c r="Z38" s="348">
        <v>1686.11583</v>
      </c>
      <c r="AA38" s="345">
        <v>0</v>
      </c>
      <c r="AB38" s="345">
        <v>0</v>
      </c>
      <c r="AC38" s="345">
        <v>0</v>
      </c>
      <c r="AD38" s="348">
        <v>0.25</v>
      </c>
      <c r="AE38" s="345">
        <v>0</v>
      </c>
      <c r="AF38" s="348">
        <v>532.11572000000001</v>
      </c>
      <c r="AG38" s="348">
        <v>146.8313</v>
      </c>
      <c r="AH38" s="345">
        <v>0</v>
      </c>
      <c r="AI38" s="348">
        <v>1431.07</v>
      </c>
      <c r="AJ38" s="348">
        <v>0.44369309999999995</v>
      </c>
      <c r="AK38" s="348">
        <v>769.69115785999998</v>
      </c>
      <c r="AL38" s="345">
        <v>0</v>
      </c>
      <c r="AM38" s="348">
        <v>1.68</v>
      </c>
      <c r="AN38" s="348">
        <v>150.91130005000002</v>
      </c>
      <c r="AO38" s="348">
        <v>150.91130005000002</v>
      </c>
      <c r="AP38" s="348">
        <v>350.01</v>
      </c>
      <c r="AQ38" s="348">
        <v>350.01</v>
      </c>
      <c r="AR38" s="345">
        <v>0</v>
      </c>
      <c r="AS38" s="345">
        <v>0</v>
      </c>
    </row>
    <row r="39" spans="1:47" hidden="1" x14ac:dyDescent="0.25">
      <c r="A39" s="284" t="s">
        <v>38</v>
      </c>
      <c r="B39" s="345">
        <v>0</v>
      </c>
      <c r="C39" s="345">
        <v>0</v>
      </c>
      <c r="D39" s="348">
        <v>206.77976389</v>
      </c>
      <c r="E39" s="345">
        <v>0</v>
      </c>
      <c r="F39" s="345">
        <v>0</v>
      </c>
      <c r="G39" s="345">
        <v>0</v>
      </c>
      <c r="H39" s="345">
        <v>0</v>
      </c>
      <c r="I39" s="345">
        <v>0</v>
      </c>
      <c r="J39" s="345">
        <v>0</v>
      </c>
      <c r="K39" s="345">
        <v>0</v>
      </c>
      <c r="L39" s="348">
        <v>7.1700000399999997</v>
      </c>
      <c r="M39" s="345">
        <v>0</v>
      </c>
      <c r="N39" s="345">
        <v>0</v>
      </c>
      <c r="O39" s="345">
        <v>0</v>
      </c>
      <c r="P39" s="345">
        <v>0</v>
      </c>
      <c r="Q39" s="345">
        <v>0</v>
      </c>
      <c r="R39" s="345">
        <v>0</v>
      </c>
      <c r="S39" s="345">
        <v>0</v>
      </c>
      <c r="T39" s="345">
        <v>0</v>
      </c>
      <c r="U39" s="345">
        <v>0</v>
      </c>
      <c r="V39" s="345">
        <v>0</v>
      </c>
      <c r="W39" s="345">
        <v>0</v>
      </c>
      <c r="X39" s="345">
        <v>0</v>
      </c>
      <c r="Y39" s="345">
        <v>0</v>
      </c>
      <c r="Z39" s="348">
        <v>1686.11583</v>
      </c>
      <c r="AA39" s="345">
        <v>0</v>
      </c>
      <c r="AB39" s="345">
        <v>0</v>
      </c>
      <c r="AC39" s="345">
        <v>0</v>
      </c>
      <c r="AD39" s="348">
        <v>0.25</v>
      </c>
      <c r="AE39" s="345">
        <v>0</v>
      </c>
      <c r="AF39" s="348">
        <v>385.28442000000001</v>
      </c>
      <c r="AG39" s="345">
        <v>0</v>
      </c>
      <c r="AH39" s="345">
        <v>0</v>
      </c>
      <c r="AI39" s="348">
        <v>1431.07</v>
      </c>
      <c r="AJ39" s="345">
        <v>0</v>
      </c>
      <c r="AK39" s="348">
        <v>769.24746475999996</v>
      </c>
      <c r="AL39" s="345">
        <v>0</v>
      </c>
      <c r="AM39" s="348">
        <v>1.68</v>
      </c>
      <c r="AN39" s="345">
        <v>0</v>
      </c>
      <c r="AO39" s="345">
        <v>0</v>
      </c>
      <c r="AP39" s="345">
        <v>0</v>
      </c>
      <c r="AQ39" s="345">
        <v>0</v>
      </c>
      <c r="AR39" s="345">
        <v>0</v>
      </c>
      <c r="AS39" s="348">
        <v>83.602549170000003</v>
      </c>
    </row>
    <row r="40" spans="1:47" x14ac:dyDescent="0.25">
      <c r="A40" s="284" t="s">
        <v>39</v>
      </c>
      <c r="B40" s="345">
        <v>0</v>
      </c>
      <c r="C40" s="345">
        <v>0</v>
      </c>
      <c r="D40" s="348">
        <v>206.77976389</v>
      </c>
      <c r="E40" s="345">
        <v>0</v>
      </c>
      <c r="F40" s="345">
        <v>0</v>
      </c>
      <c r="G40" s="345">
        <v>0</v>
      </c>
      <c r="H40" s="345">
        <v>0</v>
      </c>
      <c r="I40" s="345">
        <v>0</v>
      </c>
      <c r="J40" s="345">
        <v>0</v>
      </c>
      <c r="K40" s="345">
        <v>0</v>
      </c>
      <c r="L40" s="348">
        <v>7.1700000399999997</v>
      </c>
      <c r="M40" s="345">
        <v>0</v>
      </c>
      <c r="N40" s="345">
        <v>0</v>
      </c>
      <c r="O40" s="345">
        <v>0</v>
      </c>
      <c r="P40" s="345">
        <v>0</v>
      </c>
      <c r="Q40" s="345">
        <v>0</v>
      </c>
      <c r="R40" s="345">
        <v>0</v>
      </c>
      <c r="S40" s="345">
        <v>0</v>
      </c>
      <c r="T40" s="345">
        <v>0</v>
      </c>
      <c r="U40" s="345">
        <v>0</v>
      </c>
      <c r="V40" s="345">
        <v>0</v>
      </c>
      <c r="W40" s="345">
        <v>0</v>
      </c>
      <c r="X40" s="345">
        <v>0</v>
      </c>
      <c r="Y40" s="345">
        <v>0</v>
      </c>
      <c r="Z40" s="348">
        <v>1686.11583</v>
      </c>
      <c r="AA40" s="345">
        <v>0</v>
      </c>
      <c r="AB40" s="345">
        <v>0</v>
      </c>
      <c r="AC40" s="345">
        <v>0</v>
      </c>
      <c r="AD40" s="348">
        <v>0.25</v>
      </c>
      <c r="AE40" s="345">
        <v>0</v>
      </c>
      <c r="AF40" s="348">
        <v>385.28442000000001</v>
      </c>
      <c r="AG40" s="345">
        <v>0</v>
      </c>
      <c r="AH40" s="345">
        <v>0</v>
      </c>
      <c r="AI40" s="348">
        <v>1431.07</v>
      </c>
      <c r="AJ40" s="345">
        <v>0</v>
      </c>
      <c r="AK40" s="348">
        <v>769.24746475999996</v>
      </c>
      <c r="AL40" s="345">
        <v>0</v>
      </c>
      <c r="AM40" s="348">
        <v>1.68</v>
      </c>
      <c r="AN40" s="345">
        <v>0</v>
      </c>
      <c r="AO40" s="345">
        <v>0</v>
      </c>
      <c r="AP40" s="345">
        <v>0</v>
      </c>
      <c r="AQ40" s="345">
        <v>0</v>
      </c>
      <c r="AR40" s="345">
        <v>0</v>
      </c>
      <c r="AS40" s="348">
        <v>83.602549170000003</v>
      </c>
      <c r="AU40">
        <f>SUBTOTAL(9,F40:AG40)</f>
        <v>2078.8202500400002</v>
      </c>
    </row>
    <row r="41" spans="1:47" hidden="1" x14ac:dyDescent="0.25">
      <c r="A41" s="155">
        <v>1</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s="487">
        <v>0</v>
      </c>
    </row>
    <row r="42" spans="1:47" hidden="1" x14ac:dyDescent="0.25">
      <c r="A42" s="155" t="s">
        <v>44</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s="487">
        <v>0</v>
      </c>
    </row>
    <row r="43" spans="1:47" hidden="1" x14ac:dyDescent="0.25">
      <c r="A43" s="284" t="s">
        <v>36</v>
      </c>
      <c r="B43" s="345">
        <v>0</v>
      </c>
      <c r="C43" s="345">
        <v>0</v>
      </c>
      <c r="D43" s="348">
        <v>340.01671288</v>
      </c>
      <c r="E43" s="345">
        <v>0</v>
      </c>
      <c r="F43" s="345">
        <v>0</v>
      </c>
      <c r="G43" s="345">
        <v>0</v>
      </c>
      <c r="H43" s="345">
        <v>0</v>
      </c>
      <c r="I43" s="345">
        <v>0</v>
      </c>
      <c r="J43" s="345">
        <v>0</v>
      </c>
      <c r="K43" s="345">
        <v>0</v>
      </c>
      <c r="L43" s="345">
        <v>0</v>
      </c>
      <c r="M43" s="345">
        <v>0</v>
      </c>
      <c r="N43" s="345">
        <v>0</v>
      </c>
      <c r="O43" s="345">
        <v>0</v>
      </c>
      <c r="P43" s="345">
        <v>0</v>
      </c>
      <c r="Q43" s="345">
        <v>0</v>
      </c>
      <c r="R43" s="345">
        <v>0</v>
      </c>
      <c r="S43" s="345">
        <v>0</v>
      </c>
      <c r="T43" s="345">
        <v>0</v>
      </c>
      <c r="U43" s="345">
        <v>0</v>
      </c>
      <c r="V43" s="345">
        <v>0</v>
      </c>
      <c r="W43" s="345">
        <v>0</v>
      </c>
      <c r="X43" s="345">
        <v>0</v>
      </c>
      <c r="Y43" s="345">
        <v>0</v>
      </c>
      <c r="Z43" s="345">
        <v>0</v>
      </c>
      <c r="AA43" s="345">
        <v>0</v>
      </c>
      <c r="AB43" s="345">
        <v>0</v>
      </c>
      <c r="AC43" s="345">
        <v>0</v>
      </c>
      <c r="AD43" s="345">
        <v>0</v>
      </c>
      <c r="AE43" s="345">
        <v>0</v>
      </c>
      <c r="AF43" s="345">
        <v>0</v>
      </c>
      <c r="AG43" s="345">
        <v>0</v>
      </c>
      <c r="AH43" s="345">
        <v>0</v>
      </c>
      <c r="AI43" s="345">
        <v>0</v>
      </c>
      <c r="AJ43" s="345">
        <v>0</v>
      </c>
      <c r="AK43" s="345">
        <v>0</v>
      </c>
      <c r="AL43" s="345">
        <v>0</v>
      </c>
      <c r="AM43" s="345">
        <v>0</v>
      </c>
      <c r="AN43" s="345">
        <v>0</v>
      </c>
      <c r="AO43" s="345">
        <v>0</v>
      </c>
      <c r="AP43" s="345">
        <v>0</v>
      </c>
      <c r="AQ43" s="345">
        <v>0</v>
      </c>
      <c r="AR43" s="345">
        <v>0</v>
      </c>
      <c r="AS43" s="348">
        <v>340.01671288</v>
      </c>
    </row>
    <row r="44" spans="1:47" hidden="1" x14ac:dyDescent="0.25">
      <c r="A44" s="284" t="s">
        <v>37</v>
      </c>
      <c r="B44" s="348">
        <v>304.012</v>
      </c>
      <c r="C44" s="348">
        <v>304.012</v>
      </c>
      <c r="D44" s="348">
        <v>2115.2446336500002</v>
      </c>
      <c r="E44" s="348">
        <v>2375.7413845199999</v>
      </c>
      <c r="F44" s="345">
        <v>0</v>
      </c>
      <c r="G44" s="345">
        <v>0</v>
      </c>
      <c r="H44" s="348">
        <v>40.299999999999997</v>
      </c>
      <c r="I44" s="345">
        <v>0</v>
      </c>
      <c r="J44" s="348">
        <v>92.538601</v>
      </c>
      <c r="K44" s="345">
        <v>0</v>
      </c>
      <c r="L44" s="348">
        <v>32.35</v>
      </c>
      <c r="M44" s="345">
        <v>0</v>
      </c>
      <c r="N44" s="348">
        <v>1243.795801</v>
      </c>
      <c r="O44" s="348">
        <v>12.4</v>
      </c>
      <c r="P44" s="348">
        <v>34.97824</v>
      </c>
      <c r="Q44" s="348">
        <v>2.38</v>
      </c>
      <c r="R44" s="345">
        <v>0</v>
      </c>
      <c r="S44" s="345">
        <v>0</v>
      </c>
      <c r="T44" s="345">
        <v>0</v>
      </c>
      <c r="U44" s="345">
        <v>0</v>
      </c>
      <c r="V44" s="348">
        <v>71.2</v>
      </c>
      <c r="W44" s="345">
        <v>0</v>
      </c>
      <c r="X44" s="348">
        <v>7.6</v>
      </c>
      <c r="Y44" s="345">
        <v>0</v>
      </c>
      <c r="Z44" s="348">
        <v>299.012</v>
      </c>
      <c r="AA44" s="348">
        <v>0.73199999999999998</v>
      </c>
      <c r="AB44" s="345">
        <v>0</v>
      </c>
      <c r="AC44" s="345">
        <v>0</v>
      </c>
      <c r="AD44" s="348">
        <v>0.2</v>
      </c>
      <c r="AE44" s="345">
        <v>0</v>
      </c>
      <c r="AF44" s="348">
        <v>551.96929999999998</v>
      </c>
      <c r="AG44" s="348">
        <v>8.5</v>
      </c>
      <c r="AH44" s="345">
        <v>0</v>
      </c>
      <c r="AI44" s="348">
        <v>1179.7139999999999</v>
      </c>
      <c r="AJ44" s="348">
        <v>1.7974425199999999</v>
      </c>
      <c r="AK44" s="348">
        <v>911.51863364999997</v>
      </c>
      <c r="AL44" s="345">
        <v>0</v>
      </c>
      <c r="AM44" s="345">
        <v>0</v>
      </c>
      <c r="AN44" s="348">
        <v>304.012</v>
      </c>
      <c r="AO44" s="348">
        <v>304.012</v>
      </c>
      <c r="AP44" s="345">
        <v>0</v>
      </c>
      <c r="AQ44" s="345">
        <v>0</v>
      </c>
      <c r="AR44" s="345">
        <v>0</v>
      </c>
      <c r="AS44" s="345">
        <v>0</v>
      </c>
    </row>
    <row r="45" spans="1:47" hidden="1" x14ac:dyDescent="0.25">
      <c r="A45" s="284" t="s">
        <v>38</v>
      </c>
      <c r="B45" s="345">
        <v>0</v>
      </c>
      <c r="C45" s="345">
        <v>0</v>
      </c>
      <c r="D45" s="348">
        <v>79.51996201</v>
      </c>
      <c r="E45" s="345">
        <v>0</v>
      </c>
      <c r="F45" s="345">
        <v>0</v>
      </c>
      <c r="G45" s="345">
        <v>0</v>
      </c>
      <c r="H45" s="348">
        <v>40.299999999999997</v>
      </c>
      <c r="I45" s="345">
        <v>0</v>
      </c>
      <c r="J45" s="348">
        <v>92.538601</v>
      </c>
      <c r="K45" s="345">
        <v>0</v>
      </c>
      <c r="L45" s="348">
        <v>32.35</v>
      </c>
      <c r="M45" s="345">
        <v>0</v>
      </c>
      <c r="N45" s="348">
        <v>1231.3958009999999</v>
      </c>
      <c r="O45" s="345">
        <v>0</v>
      </c>
      <c r="P45" s="348">
        <v>32.598239999999997</v>
      </c>
      <c r="Q45" s="345">
        <v>0</v>
      </c>
      <c r="R45" s="345">
        <v>0</v>
      </c>
      <c r="S45" s="345">
        <v>0</v>
      </c>
      <c r="T45" s="345">
        <v>0</v>
      </c>
      <c r="U45" s="345">
        <v>0</v>
      </c>
      <c r="V45" s="348">
        <v>71.2</v>
      </c>
      <c r="W45" s="345">
        <v>0</v>
      </c>
      <c r="X45" s="348">
        <v>7.6</v>
      </c>
      <c r="Y45" s="345">
        <v>0</v>
      </c>
      <c r="Z45" s="348">
        <v>298.27999999999997</v>
      </c>
      <c r="AA45" s="345">
        <v>0</v>
      </c>
      <c r="AB45" s="345">
        <v>0</v>
      </c>
      <c r="AC45" s="345">
        <v>0</v>
      </c>
      <c r="AD45" s="348">
        <v>0.2</v>
      </c>
      <c r="AE45" s="345">
        <v>0</v>
      </c>
      <c r="AF45" s="348">
        <v>543.46929999999998</v>
      </c>
      <c r="AG45" s="345">
        <v>0</v>
      </c>
      <c r="AH45" s="345">
        <v>0</v>
      </c>
      <c r="AI45" s="348">
        <v>1179.7139999999999</v>
      </c>
      <c r="AJ45" s="345">
        <v>0</v>
      </c>
      <c r="AK45" s="348">
        <v>909.72119112999997</v>
      </c>
      <c r="AL45" s="345">
        <v>0</v>
      </c>
      <c r="AM45" s="345">
        <v>0</v>
      </c>
      <c r="AN45" s="345">
        <v>0</v>
      </c>
      <c r="AO45" s="345">
        <v>0</v>
      </c>
      <c r="AP45" s="345">
        <v>0</v>
      </c>
      <c r="AQ45" s="345">
        <v>0</v>
      </c>
      <c r="AR45" s="345">
        <v>0</v>
      </c>
      <c r="AS45" s="348">
        <v>340.01671288</v>
      </c>
    </row>
    <row r="46" spans="1:47" x14ac:dyDescent="0.25">
      <c r="A46" s="284" t="s">
        <v>39</v>
      </c>
      <c r="B46" s="345">
        <v>0</v>
      </c>
      <c r="C46" s="345">
        <v>0</v>
      </c>
      <c r="D46" s="348">
        <v>79.51996201</v>
      </c>
      <c r="E46" s="345">
        <v>0</v>
      </c>
      <c r="F46" s="345">
        <v>0</v>
      </c>
      <c r="G46" s="345">
        <v>0</v>
      </c>
      <c r="H46" s="348">
        <v>40.299999999999997</v>
      </c>
      <c r="I46" s="345">
        <v>0</v>
      </c>
      <c r="J46" s="348">
        <v>92.538601</v>
      </c>
      <c r="K46" s="345">
        <v>0</v>
      </c>
      <c r="L46" s="348">
        <v>32.35</v>
      </c>
      <c r="M46" s="345">
        <v>0</v>
      </c>
      <c r="N46" s="348">
        <v>1231.3958009999999</v>
      </c>
      <c r="O46" s="345">
        <v>0</v>
      </c>
      <c r="P46" s="348">
        <v>32.598239999999997</v>
      </c>
      <c r="Q46" s="345">
        <v>0</v>
      </c>
      <c r="R46" s="345">
        <v>0</v>
      </c>
      <c r="S46" s="345">
        <v>0</v>
      </c>
      <c r="T46" s="345">
        <v>0</v>
      </c>
      <c r="U46" s="345">
        <v>0</v>
      </c>
      <c r="V46" s="348">
        <v>71.2</v>
      </c>
      <c r="W46" s="345">
        <v>0</v>
      </c>
      <c r="X46" s="348">
        <v>7.6</v>
      </c>
      <c r="Y46" s="345">
        <v>0</v>
      </c>
      <c r="Z46" s="348">
        <v>298.27999999999997</v>
      </c>
      <c r="AA46" s="345">
        <v>0</v>
      </c>
      <c r="AB46" s="345">
        <v>0</v>
      </c>
      <c r="AC46" s="345">
        <v>0</v>
      </c>
      <c r="AD46" s="348">
        <v>0.2</v>
      </c>
      <c r="AE46" s="345">
        <v>0</v>
      </c>
      <c r="AF46" s="348">
        <v>543.46929999999998</v>
      </c>
      <c r="AG46" s="345">
        <v>0</v>
      </c>
      <c r="AH46" s="345">
        <v>0</v>
      </c>
      <c r="AI46" s="348">
        <v>1179.7139999999999</v>
      </c>
      <c r="AJ46" s="345">
        <v>0</v>
      </c>
      <c r="AK46" s="348">
        <v>909.72119112999997</v>
      </c>
      <c r="AL46" s="345">
        <v>0</v>
      </c>
      <c r="AM46" s="345">
        <v>0</v>
      </c>
      <c r="AN46" s="345">
        <v>0</v>
      </c>
      <c r="AO46" s="345">
        <v>0</v>
      </c>
      <c r="AP46" s="345">
        <v>0</v>
      </c>
      <c r="AQ46" s="345">
        <v>0</v>
      </c>
      <c r="AR46" s="345">
        <v>0</v>
      </c>
      <c r="AS46" s="348">
        <v>340.01671288</v>
      </c>
      <c r="AU46">
        <f>SUBTOTAL(9,F46:AG46)</f>
        <v>2349.9319420000002</v>
      </c>
    </row>
    <row r="47" spans="1:47" hidden="1" x14ac:dyDescent="0.25">
      <c r="A47" s="155">
        <v>1</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v>0</v>
      </c>
      <c r="AS47" s="487">
        <v>0</v>
      </c>
    </row>
    <row r="48" spans="1:47" hidden="1" x14ac:dyDescent="0.25">
      <c r="A48" s="155" t="s">
        <v>45</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s="487">
        <v>0</v>
      </c>
    </row>
    <row r="49" spans="1:47" hidden="1" x14ac:dyDescent="0.25">
      <c r="A49" s="284" t="s">
        <v>36</v>
      </c>
      <c r="B49" s="345">
        <v>0</v>
      </c>
      <c r="C49" s="345">
        <v>0</v>
      </c>
      <c r="D49" s="348">
        <v>1.2826108300000001</v>
      </c>
      <c r="E49" s="345">
        <v>0</v>
      </c>
      <c r="F49" s="345">
        <v>0</v>
      </c>
      <c r="G49" s="345">
        <v>0</v>
      </c>
      <c r="H49" s="345">
        <v>0</v>
      </c>
      <c r="I49" s="345">
        <v>0</v>
      </c>
      <c r="J49" s="345">
        <v>0</v>
      </c>
      <c r="K49" s="345">
        <v>0</v>
      </c>
      <c r="L49" s="345">
        <v>0</v>
      </c>
      <c r="M49" s="345">
        <v>0</v>
      </c>
      <c r="N49" s="345">
        <v>0</v>
      </c>
      <c r="O49" s="345">
        <v>0</v>
      </c>
      <c r="P49" s="345">
        <v>0</v>
      </c>
      <c r="Q49" s="345">
        <v>0</v>
      </c>
      <c r="R49" s="345">
        <v>0</v>
      </c>
      <c r="S49" s="345">
        <v>0</v>
      </c>
      <c r="T49" s="345">
        <v>0</v>
      </c>
      <c r="U49" s="345">
        <v>0</v>
      </c>
      <c r="V49" s="345">
        <v>0</v>
      </c>
      <c r="W49" s="345">
        <v>0</v>
      </c>
      <c r="X49" s="345">
        <v>0</v>
      </c>
      <c r="Y49" s="345">
        <v>0</v>
      </c>
      <c r="Z49" s="345">
        <v>0</v>
      </c>
      <c r="AA49" s="345">
        <v>0</v>
      </c>
      <c r="AB49" s="345">
        <v>0</v>
      </c>
      <c r="AC49" s="345">
        <v>0</v>
      </c>
      <c r="AD49" s="345">
        <v>0</v>
      </c>
      <c r="AE49" s="345">
        <v>0</v>
      </c>
      <c r="AF49" s="345">
        <v>0</v>
      </c>
      <c r="AG49" s="345">
        <v>0</v>
      </c>
      <c r="AH49" s="345">
        <v>0</v>
      </c>
      <c r="AI49" s="345">
        <v>0</v>
      </c>
      <c r="AJ49" s="345">
        <v>0</v>
      </c>
      <c r="AK49" s="345">
        <v>0</v>
      </c>
      <c r="AL49" s="345">
        <v>0</v>
      </c>
      <c r="AM49" s="345">
        <v>0</v>
      </c>
      <c r="AN49" s="345">
        <v>0</v>
      </c>
      <c r="AO49" s="345">
        <v>0</v>
      </c>
      <c r="AP49" s="345">
        <v>0</v>
      </c>
      <c r="AQ49" s="345">
        <v>0</v>
      </c>
      <c r="AR49" s="345">
        <v>0</v>
      </c>
      <c r="AS49" s="348">
        <v>1.2826108300000001</v>
      </c>
    </row>
    <row r="50" spans="1:47" hidden="1" x14ac:dyDescent="0.25">
      <c r="A50" s="284" t="s">
        <v>37</v>
      </c>
      <c r="B50" s="348">
        <v>211.32985600000001</v>
      </c>
      <c r="C50" s="348">
        <v>211.32985600000001</v>
      </c>
      <c r="D50" s="348">
        <v>3114.4894435599999</v>
      </c>
      <c r="E50" s="348">
        <v>3108.9094001599997</v>
      </c>
      <c r="F50" s="345">
        <v>0</v>
      </c>
      <c r="G50" s="345">
        <v>0</v>
      </c>
      <c r="H50" s="345">
        <v>0</v>
      </c>
      <c r="I50" s="345">
        <v>0</v>
      </c>
      <c r="J50" s="345">
        <v>0</v>
      </c>
      <c r="K50" s="345">
        <v>0</v>
      </c>
      <c r="L50" s="345">
        <v>0</v>
      </c>
      <c r="M50" s="345">
        <v>0</v>
      </c>
      <c r="N50" s="345">
        <v>0</v>
      </c>
      <c r="O50" s="345">
        <v>0</v>
      </c>
      <c r="P50" s="345">
        <v>0</v>
      </c>
      <c r="Q50" s="345">
        <v>0</v>
      </c>
      <c r="R50" s="345">
        <v>0</v>
      </c>
      <c r="S50" s="345">
        <v>0</v>
      </c>
      <c r="T50" s="345">
        <v>0</v>
      </c>
      <c r="U50" s="345">
        <v>0</v>
      </c>
      <c r="V50" s="345">
        <v>0</v>
      </c>
      <c r="W50" s="345">
        <v>0</v>
      </c>
      <c r="X50" s="345">
        <v>0</v>
      </c>
      <c r="Y50" s="345">
        <v>0</v>
      </c>
      <c r="Z50" s="348">
        <v>282</v>
      </c>
      <c r="AA50" s="348">
        <v>1.32</v>
      </c>
      <c r="AB50" s="345">
        <v>0</v>
      </c>
      <c r="AC50" s="345">
        <v>0</v>
      </c>
      <c r="AD50" s="348">
        <v>0.2</v>
      </c>
      <c r="AE50" s="345">
        <v>0</v>
      </c>
      <c r="AF50" s="348">
        <v>2826.4029099999998</v>
      </c>
      <c r="AG50" s="348">
        <v>210.00985600000001</v>
      </c>
      <c r="AH50" s="345">
        <v>0</v>
      </c>
      <c r="AI50" s="348">
        <v>1362.7349999999999</v>
      </c>
      <c r="AJ50" s="348">
        <v>0.30649015999999996</v>
      </c>
      <c r="AK50" s="348">
        <v>1540.42458756</v>
      </c>
      <c r="AL50" s="345">
        <v>0</v>
      </c>
      <c r="AM50" s="345">
        <v>0</v>
      </c>
      <c r="AN50" s="348">
        <v>211.32985600000001</v>
      </c>
      <c r="AO50" s="348">
        <v>211.32985600000001</v>
      </c>
      <c r="AP50" s="345">
        <v>0</v>
      </c>
      <c r="AQ50" s="345">
        <v>0</v>
      </c>
      <c r="AR50" s="345">
        <v>0</v>
      </c>
      <c r="AS50" s="345">
        <v>0</v>
      </c>
    </row>
    <row r="51" spans="1:47" hidden="1" x14ac:dyDescent="0.25">
      <c r="A51" s="284" t="s">
        <v>38</v>
      </c>
      <c r="B51" s="345">
        <v>0</v>
      </c>
      <c r="C51" s="345">
        <v>0</v>
      </c>
      <c r="D51" s="348">
        <v>6.8626542300000004</v>
      </c>
      <c r="E51" s="345">
        <v>0</v>
      </c>
      <c r="F51" s="345">
        <v>0</v>
      </c>
      <c r="G51" s="345">
        <v>0</v>
      </c>
      <c r="H51" s="345">
        <v>0</v>
      </c>
      <c r="I51" s="345">
        <v>0</v>
      </c>
      <c r="J51" s="345">
        <v>0</v>
      </c>
      <c r="K51" s="345">
        <v>0</v>
      </c>
      <c r="L51" s="345">
        <v>0</v>
      </c>
      <c r="M51" s="345">
        <v>0</v>
      </c>
      <c r="N51" s="345">
        <v>0</v>
      </c>
      <c r="O51" s="345">
        <v>0</v>
      </c>
      <c r="P51" s="345">
        <v>0</v>
      </c>
      <c r="Q51" s="345">
        <v>0</v>
      </c>
      <c r="R51" s="345">
        <v>0</v>
      </c>
      <c r="S51" s="345">
        <v>0</v>
      </c>
      <c r="T51" s="345">
        <v>0</v>
      </c>
      <c r="U51" s="345">
        <v>0</v>
      </c>
      <c r="V51" s="345">
        <v>0</v>
      </c>
      <c r="W51" s="345">
        <v>0</v>
      </c>
      <c r="X51" s="345">
        <v>0</v>
      </c>
      <c r="Y51" s="345">
        <v>0</v>
      </c>
      <c r="Z51" s="348">
        <v>280.68</v>
      </c>
      <c r="AA51" s="345">
        <v>0</v>
      </c>
      <c r="AB51" s="345">
        <v>0</v>
      </c>
      <c r="AC51" s="345">
        <v>0</v>
      </c>
      <c r="AD51" s="348">
        <v>0.2</v>
      </c>
      <c r="AE51" s="345">
        <v>0</v>
      </c>
      <c r="AF51" s="348">
        <v>2616.3930540000001</v>
      </c>
      <c r="AG51" s="345">
        <v>0</v>
      </c>
      <c r="AH51" s="345">
        <v>0</v>
      </c>
      <c r="AI51" s="348">
        <v>1362.7349999999999</v>
      </c>
      <c r="AJ51" s="345">
        <v>0</v>
      </c>
      <c r="AK51" s="348">
        <v>1540.1180974000001</v>
      </c>
      <c r="AL51" s="345">
        <v>0</v>
      </c>
      <c r="AM51" s="345">
        <v>0</v>
      </c>
      <c r="AN51" s="345">
        <v>0</v>
      </c>
      <c r="AO51" s="345">
        <v>0</v>
      </c>
      <c r="AP51" s="345">
        <v>0</v>
      </c>
      <c r="AQ51" s="345">
        <v>0</v>
      </c>
      <c r="AR51" s="345">
        <v>0</v>
      </c>
      <c r="AS51" s="348">
        <v>1.2826108300000001</v>
      </c>
    </row>
    <row r="52" spans="1:47" x14ac:dyDescent="0.25">
      <c r="A52" s="284" t="s">
        <v>39</v>
      </c>
      <c r="B52" s="345">
        <v>0</v>
      </c>
      <c r="C52" s="345">
        <v>0</v>
      </c>
      <c r="D52" s="348">
        <v>6.8626542300000004</v>
      </c>
      <c r="E52" s="345">
        <v>0</v>
      </c>
      <c r="F52" s="345">
        <v>0</v>
      </c>
      <c r="G52" s="345">
        <v>0</v>
      </c>
      <c r="H52" s="345">
        <v>0</v>
      </c>
      <c r="I52" s="345">
        <v>0</v>
      </c>
      <c r="J52" s="345">
        <v>0</v>
      </c>
      <c r="K52" s="345">
        <v>0</v>
      </c>
      <c r="L52" s="345">
        <v>0</v>
      </c>
      <c r="M52" s="345">
        <v>0</v>
      </c>
      <c r="N52" s="345">
        <v>0</v>
      </c>
      <c r="O52" s="345">
        <v>0</v>
      </c>
      <c r="P52" s="345">
        <v>0</v>
      </c>
      <c r="Q52" s="345">
        <v>0</v>
      </c>
      <c r="R52" s="345">
        <v>0</v>
      </c>
      <c r="S52" s="345">
        <v>0</v>
      </c>
      <c r="T52" s="345">
        <v>0</v>
      </c>
      <c r="U52" s="345">
        <v>0</v>
      </c>
      <c r="V52" s="345">
        <v>0</v>
      </c>
      <c r="W52" s="345">
        <v>0</v>
      </c>
      <c r="X52" s="345">
        <v>0</v>
      </c>
      <c r="Y52" s="345">
        <v>0</v>
      </c>
      <c r="Z52" s="348">
        <v>280.68</v>
      </c>
      <c r="AA52" s="345">
        <v>0</v>
      </c>
      <c r="AB52" s="345">
        <v>0</v>
      </c>
      <c r="AC52" s="345">
        <v>0</v>
      </c>
      <c r="AD52" s="348">
        <v>0.2</v>
      </c>
      <c r="AE52" s="345">
        <v>0</v>
      </c>
      <c r="AF52" s="348">
        <v>2616.3930540000001</v>
      </c>
      <c r="AG52" s="345">
        <v>0</v>
      </c>
      <c r="AH52" s="345">
        <v>0</v>
      </c>
      <c r="AI52" s="348">
        <v>1362.7349999999999</v>
      </c>
      <c r="AJ52" s="345">
        <v>0</v>
      </c>
      <c r="AK52" s="348">
        <v>1540.1180974000001</v>
      </c>
      <c r="AL52" s="345">
        <v>0</v>
      </c>
      <c r="AM52" s="345">
        <v>0</v>
      </c>
      <c r="AN52" s="345">
        <v>0</v>
      </c>
      <c r="AO52" s="345">
        <v>0</v>
      </c>
      <c r="AP52" s="345">
        <v>0</v>
      </c>
      <c r="AQ52" s="345">
        <v>0</v>
      </c>
      <c r="AR52" s="345">
        <v>0</v>
      </c>
      <c r="AS52" s="348">
        <v>1.2826108300000001</v>
      </c>
      <c r="AU52">
        <f>SUBTOTAL(9,F52:AG52)</f>
        <v>2897.2730540000002</v>
      </c>
    </row>
    <row r="53" spans="1:47" hidden="1" x14ac:dyDescent="0.25">
      <c r="A53" s="155">
        <v>1</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s="487">
        <v>0</v>
      </c>
    </row>
    <row r="54" spans="1:47" hidden="1" x14ac:dyDescent="0.25">
      <c r="A54" s="155" t="s">
        <v>46</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s="487">
        <v>0</v>
      </c>
    </row>
    <row r="55" spans="1:47" hidden="1" x14ac:dyDescent="0.25">
      <c r="A55" s="284" t="s">
        <v>36</v>
      </c>
      <c r="B55" s="345">
        <v>0</v>
      </c>
      <c r="C55" s="345">
        <v>0</v>
      </c>
      <c r="D55" s="348">
        <v>139.07764993000001</v>
      </c>
      <c r="E55" s="345">
        <v>0</v>
      </c>
      <c r="F55" s="345">
        <v>0</v>
      </c>
      <c r="G55" s="345">
        <v>0</v>
      </c>
      <c r="H55" s="345">
        <v>0</v>
      </c>
      <c r="I55" s="345">
        <v>0</v>
      </c>
      <c r="J55" s="345">
        <v>0</v>
      </c>
      <c r="K55" s="345">
        <v>0</v>
      </c>
      <c r="L55" s="345">
        <v>0</v>
      </c>
      <c r="M55" s="345">
        <v>0</v>
      </c>
      <c r="N55" s="345">
        <v>0</v>
      </c>
      <c r="O55" s="345">
        <v>0</v>
      </c>
      <c r="P55" s="345">
        <v>0</v>
      </c>
      <c r="Q55" s="345">
        <v>0</v>
      </c>
      <c r="R55" s="345">
        <v>0</v>
      </c>
      <c r="S55" s="345">
        <v>0</v>
      </c>
      <c r="T55" s="345">
        <v>0</v>
      </c>
      <c r="U55" s="345">
        <v>0</v>
      </c>
      <c r="V55" s="345">
        <v>0</v>
      </c>
      <c r="W55" s="345">
        <v>0</v>
      </c>
      <c r="X55" s="345">
        <v>0</v>
      </c>
      <c r="Y55" s="345">
        <v>0</v>
      </c>
      <c r="Z55" s="345">
        <v>0</v>
      </c>
      <c r="AA55" s="345">
        <v>0</v>
      </c>
      <c r="AB55" s="345">
        <v>0</v>
      </c>
      <c r="AC55" s="345">
        <v>0</v>
      </c>
      <c r="AD55" s="345">
        <v>0</v>
      </c>
      <c r="AE55" s="345">
        <v>0</v>
      </c>
      <c r="AF55" s="345">
        <v>0</v>
      </c>
      <c r="AG55" s="345">
        <v>0</v>
      </c>
      <c r="AH55" s="345">
        <v>0</v>
      </c>
      <c r="AI55" s="345">
        <v>0</v>
      </c>
      <c r="AJ55" s="345">
        <v>0</v>
      </c>
      <c r="AK55" s="345">
        <v>0</v>
      </c>
      <c r="AL55" s="345">
        <v>0</v>
      </c>
      <c r="AM55" s="345">
        <v>0</v>
      </c>
      <c r="AN55" s="345">
        <v>0</v>
      </c>
      <c r="AO55" s="345">
        <v>0</v>
      </c>
      <c r="AP55" s="345">
        <v>0</v>
      </c>
      <c r="AQ55" s="345">
        <v>0</v>
      </c>
      <c r="AR55" s="345">
        <v>0</v>
      </c>
      <c r="AS55" s="348">
        <v>139.07764993000001</v>
      </c>
    </row>
    <row r="56" spans="1:47" hidden="1" x14ac:dyDescent="0.25">
      <c r="A56" s="284" t="s">
        <v>37</v>
      </c>
      <c r="B56" s="348">
        <v>67.208651019999991</v>
      </c>
      <c r="C56" s="348">
        <v>67.208651019999991</v>
      </c>
      <c r="D56" s="348">
        <v>2283.3434545999999</v>
      </c>
      <c r="E56" s="348">
        <v>2207.42248582</v>
      </c>
      <c r="F56" s="345">
        <v>0</v>
      </c>
      <c r="G56" s="345">
        <v>0</v>
      </c>
      <c r="H56" s="345">
        <v>0</v>
      </c>
      <c r="I56" s="345">
        <v>0</v>
      </c>
      <c r="J56" s="345">
        <v>0</v>
      </c>
      <c r="K56" s="345">
        <v>0</v>
      </c>
      <c r="L56" s="345">
        <v>0</v>
      </c>
      <c r="M56" s="345">
        <v>0</v>
      </c>
      <c r="N56" s="345">
        <v>0</v>
      </c>
      <c r="O56" s="345">
        <v>0</v>
      </c>
      <c r="P56" s="345">
        <v>0</v>
      </c>
      <c r="Q56" s="345">
        <v>0</v>
      </c>
      <c r="R56" s="345">
        <v>0</v>
      </c>
      <c r="S56" s="345">
        <v>0</v>
      </c>
      <c r="T56" s="345">
        <v>0</v>
      </c>
      <c r="U56" s="345">
        <v>0</v>
      </c>
      <c r="V56" s="345">
        <v>0</v>
      </c>
      <c r="W56" s="345">
        <v>0</v>
      </c>
      <c r="X56" s="345">
        <v>0</v>
      </c>
      <c r="Y56" s="345">
        <v>0</v>
      </c>
      <c r="Z56" s="348">
        <v>234.72</v>
      </c>
      <c r="AA56" s="345">
        <v>0</v>
      </c>
      <c r="AB56" s="345">
        <v>0</v>
      </c>
      <c r="AC56" s="345">
        <v>0</v>
      </c>
      <c r="AD56" s="345">
        <v>0</v>
      </c>
      <c r="AE56" s="345">
        <v>0</v>
      </c>
      <c r="AF56" s="348">
        <v>1972.03885102</v>
      </c>
      <c r="AG56" s="348">
        <v>66.557000020000004</v>
      </c>
      <c r="AH56" s="345">
        <v>0</v>
      </c>
      <c r="AI56" s="348">
        <v>1068.5999999999999</v>
      </c>
      <c r="AJ56" s="348">
        <v>0.66363480000000008</v>
      </c>
      <c r="AK56" s="348">
        <v>1147.53480358</v>
      </c>
      <c r="AL56" s="345">
        <v>0</v>
      </c>
      <c r="AM56" s="348">
        <v>0.65165099999999998</v>
      </c>
      <c r="AN56" s="348">
        <v>67.208651019999991</v>
      </c>
      <c r="AO56" s="348">
        <v>67.208651019999991</v>
      </c>
      <c r="AP56" s="348">
        <v>234.72</v>
      </c>
      <c r="AQ56" s="348">
        <v>234.72</v>
      </c>
      <c r="AR56" s="345">
        <v>0</v>
      </c>
      <c r="AS56" s="345">
        <v>0</v>
      </c>
    </row>
    <row r="57" spans="1:47" hidden="1" x14ac:dyDescent="0.25">
      <c r="A57" s="284" t="s">
        <v>38</v>
      </c>
      <c r="B57" s="345">
        <v>0</v>
      </c>
      <c r="C57" s="345">
        <v>0</v>
      </c>
      <c r="D57" s="348">
        <v>214.99861871000002</v>
      </c>
      <c r="E57" s="345">
        <v>0</v>
      </c>
      <c r="F57" s="345">
        <v>0</v>
      </c>
      <c r="G57" s="345">
        <v>0</v>
      </c>
      <c r="H57" s="345">
        <v>0</v>
      </c>
      <c r="I57" s="345">
        <v>0</v>
      </c>
      <c r="J57" s="345">
        <v>0</v>
      </c>
      <c r="K57" s="345">
        <v>0</v>
      </c>
      <c r="L57" s="345">
        <v>0</v>
      </c>
      <c r="M57" s="345">
        <v>0</v>
      </c>
      <c r="N57" s="345">
        <v>0</v>
      </c>
      <c r="O57" s="345">
        <v>0</v>
      </c>
      <c r="P57" s="345">
        <v>0</v>
      </c>
      <c r="Q57" s="345">
        <v>0</v>
      </c>
      <c r="R57" s="345">
        <v>0</v>
      </c>
      <c r="S57" s="345">
        <v>0</v>
      </c>
      <c r="T57" s="345">
        <v>0</v>
      </c>
      <c r="U57" s="345">
        <v>0</v>
      </c>
      <c r="V57" s="345">
        <v>0</v>
      </c>
      <c r="W57" s="345">
        <v>0</v>
      </c>
      <c r="X57" s="345">
        <v>0</v>
      </c>
      <c r="Y57" s="345">
        <v>0</v>
      </c>
      <c r="Z57" s="348">
        <v>234.72</v>
      </c>
      <c r="AA57" s="345">
        <v>0</v>
      </c>
      <c r="AB57" s="345">
        <v>0</v>
      </c>
      <c r="AC57" s="345">
        <v>0</v>
      </c>
      <c r="AD57" s="345">
        <v>0</v>
      </c>
      <c r="AE57" s="345">
        <v>0</v>
      </c>
      <c r="AF57" s="348">
        <v>1905.481851</v>
      </c>
      <c r="AG57" s="345">
        <v>0</v>
      </c>
      <c r="AH57" s="345">
        <v>0</v>
      </c>
      <c r="AI57" s="348">
        <v>1068.5999999999999</v>
      </c>
      <c r="AJ57" s="345">
        <v>0</v>
      </c>
      <c r="AK57" s="348">
        <v>1146.8711687800001</v>
      </c>
      <c r="AL57" s="345">
        <v>0</v>
      </c>
      <c r="AM57" s="348">
        <v>0.65165099999999998</v>
      </c>
      <c r="AN57" s="345">
        <v>0</v>
      </c>
      <c r="AO57" s="345">
        <v>0</v>
      </c>
      <c r="AP57" s="345">
        <v>0</v>
      </c>
      <c r="AQ57" s="345">
        <v>0</v>
      </c>
      <c r="AR57" s="345">
        <v>0</v>
      </c>
      <c r="AS57" s="348">
        <v>139.07764993000001</v>
      </c>
    </row>
    <row r="58" spans="1:47" x14ac:dyDescent="0.25">
      <c r="A58" s="284" t="s">
        <v>39</v>
      </c>
      <c r="B58" s="345">
        <v>0</v>
      </c>
      <c r="C58" s="345">
        <v>0</v>
      </c>
      <c r="D58" s="348">
        <v>214.99861871000002</v>
      </c>
      <c r="E58" s="345">
        <v>0</v>
      </c>
      <c r="F58" s="345">
        <v>0</v>
      </c>
      <c r="G58" s="345">
        <v>0</v>
      </c>
      <c r="H58" s="345">
        <v>0</v>
      </c>
      <c r="I58" s="345">
        <v>0</v>
      </c>
      <c r="J58" s="345">
        <v>0</v>
      </c>
      <c r="K58" s="345">
        <v>0</v>
      </c>
      <c r="L58" s="345">
        <v>0</v>
      </c>
      <c r="M58" s="345">
        <v>0</v>
      </c>
      <c r="N58" s="345">
        <v>0</v>
      </c>
      <c r="O58" s="345">
        <v>0</v>
      </c>
      <c r="P58" s="345">
        <v>0</v>
      </c>
      <c r="Q58" s="345">
        <v>0</v>
      </c>
      <c r="R58" s="345">
        <v>0</v>
      </c>
      <c r="S58" s="345">
        <v>0</v>
      </c>
      <c r="T58" s="345">
        <v>0</v>
      </c>
      <c r="U58" s="345">
        <v>0</v>
      </c>
      <c r="V58" s="345">
        <v>0</v>
      </c>
      <c r="W58" s="345">
        <v>0</v>
      </c>
      <c r="X58" s="345">
        <v>0</v>
      </c>
      <c r="Y58" s="345">
        <v>0</v>
      </c>
      <c r="Z58" s="348">
        <v>234.72</v>
      </c>
      <c r="AA58" s="345">
        <v>0</v>
      </c>
      <c r="AB58" s="345">
        <v>0</v>
      </c>
      <c r="AC58" s="345">
        <v>0</v>
      </c>
      <c r="AD58" s="345">
        <v>0</v>
      </c>
      <c r="AE58" s="345">
        <v>0</v>
      </c>
      <c r="AF58" s="348">
        <v>1905.481851</v>
      </c>
      <c r="AG58" s="345">
        <v>0</v>
      </c>
      <c r="AH58" s="345">
        <v>0</v>
      </c>
      <c r="AI58" s="348">
        <v>1068.5999999999999</v>
      </c>
      <c r="AJ58" s="345">
        <v>0</v>
      </c>
      <c r="AK58" s="348">
        <v>1146.8711687800001</v>
      </c>
      <c r="AL58" s="345">
        <v>0</v>
      </c>
      <c r="AM58" s="348">
        <v>0.65165099999999998</v>
      </c>
      <c r="AN58" s="345">
        <v>0</v>
      </c>
      <c r="AO58" s="345">
        <v>0</v>
      </c>
      <c r="AP58" s="345">
        <v>0</v>
      </c>
      <c r="AQ58" s="345">
        <v>0</v>
      </c>
      <c r="AR58" s="345">
        <v>0</v>
      </c>
      <c r="AS58" s="348">
        <v>139.07764993000001</v>
      </c>
      <c r="AU58">
        <f>SUBTOTAL(9,F58:AG58)</f>
        <v>2140.2018509999998</v>
      </c>
    </row>
    <row r="59" spans="1:47" hidden="1" x14ac:dyDescent="0.25">
      <c r="A59" s="155">
        <v>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s="487">
        <v>0</v>
      </c>
    </row>
    <row r="60" spans="1:47" hidden="1" x14ac:dyDescent="0.25">
      <c r="A60" s="155" t="s">
        <v>47</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s="487">
        <v>0</v>
      </c>
    </row>
    <row r="61" spans="1:47" hidden="1" x14ac:dyDescent="0.25">
      <c r="A61" s="284" t="s">
        <v>36</v>
      </c>
      <c r="B61" s="345">
        <v>0</v>
      </c>
      <c r="C61" s="345">
        <v>0</v>
      </c>
      <c r="D61" s="348">
        <v>139.7115354</v>
      </c>
      <c r="E61" s="345">
        <v>0</v>
      </c>
      <c r="F61" s="345">
        <v>0</v>
      </c>
      <c r="G61" s="345">
        <v>0</v>
      </c>
      <c r="H61" s="345">
        <v>0</v>
      </c>
      <c r="I61" s="345">
        <v>0</v>
      </c>
      <c r="J61" s="345">
        <v>0</v>
      </c>
      <c r="K61" s="345">
        <v>0</v>
      </c>
      <c r="L61" s="345">
        <v>0</v>
      </c>
      <c r="M61" s="345">
        <v>0</v>
      </c>
      <c r="N61" s="345">
        <v>0</v>
      </c>
      <c r="O61" s="345">
        <v>0</v>
      </c>
      <c r="P61" s="345">
        <v>0</v>
      </c>
      <c r="Q61" s="345">
        <v>0</v>
      </c>
      <c r="R61" s="345">
        <v>0</v>
      </c>
      <c r="S61" s="345">
        <v>0</v>
      </c>
      <c r="T61" s="345">
        <v>0</v>
      </c>
      <c r="U61" s="345">
        <v>0</v>
      </c>
      <c r="V61" s="345">
        <v>0</v>
      </c>
      <c r="W61" s="345">
        <v>0</v>
      </c>
      <c r="X61" s="345">
        <v>0</v>
      </c>
      <c r="Y61" s="345">
        <v>0</v>
      </c>
      <c r="Z61" s="345">
        <v>0</v>
      </c>
      <c r="AA61" s="345">
        <v>0</v>
      </c>
      <c r="AB61" s="345">
        <v>0</v>
      </c>
      <c r="AC61" s="345">
        <v>0</v>
      </c>
      <c r="AD61" s="345">
        <v>0</v>
      </c>
      <c r="AE61" s="345">
        <v>0</v>
      </c>
      <c r="AF61" s="345">
        <v>0</v>
      </c>
      <c r="AG61" s="345">
        <v>0</v>
      </c>
      <c r="AH61" s="345">
        <v>0</v>
      </c>
      <c r="AI61" s="345">
        <v>0</v>
      </c>
      <c r="AJ61" s="345">
        <v>0</v>
      </c>
      <c r="AK61" s="345">
        <v>0</v>
      </c>
      <c r="AL61" s="345">
        <v>0</v>
      </c>
      <c r="AM61" s="345">
        <v>0</v>
      </c>
      <c r="AN61" s="345">
        <v>0</v>
      </c>
      <c r="AO61" s="345">
        <v>0</v>
      </c>
      <c r="AP61" s="345">
        <v>0</v>
      </c>
      <c r="AQ61" s="345">
        <v>0</v>
      </c>
      <c r="AR61" s="345">
        <v>0</v>
      </c>
      <c r="AS61" s="348">
        <v>139.7115354</v>
      </c>
    </row>
    <row r="62" spans="1:47" hidden="1" x14ac:dyDescent="0.25">
      <c r="A62" s="284" t="s">
        <v>37</v>
      </c>
      <c r="B62" s="348">
        <v>1587.89909317</v>
      </c>
      <c r="C62" s="348">
        <v>1587.89909317</v>
      </c>
      <c r="D62" s="348">
        <v>2668.3719745999997</v>
      </c>
      <c r="E62" s="348">
        <v>2679.81851018</v>
      </c>
      <c r="F62" s="348">
        <v>6.65</v>
      </c>
      <c r="G62" s="345">
        <v>0</v>
      </c>
      <c r="H62" s="345">
        <v>0</v>
      </c>
      <c r="I62" s="345">
        <v>0</v>
      </c>
      <c r="J62" s="345">
        <v>0</v>
      </c>
      <c r="K62" s="345">
        <v>0</v>
      </c>
      <c r="L62" s="345">
        <v>0</v>
      </c>
      <c r="M62" s="345">
        <v>0</v>
      </c>
      <c r="N62" s="345">
        <v>0</v>
      </c>
      <c r="O62" s="345">
        <v>0</v>
      </c>
      <c r="P62" s="345">
        <v>0</v>
      </c>
      <c r="Q62" s="345">
        <v>0</v>
      </c>
      <c r="R62" s="345">
        <v>0</v>
      </c>
      <c r="S62" s="345">
        <v>0</v>
      </c>
      <c r="T62" s="345">
        <v>0</v>
      </c>
      <c r="U62" s="345">
        <v>0</v>
      </c>
      <c r="V62" s="345">
        <v>0</v>
      </c>
      <c r="W62" s="345">
        <v>0</v>
      </c>
      <c r="X62" s="345">
        <v>0</v>
      </c>
      <c r="Y62" s="345">
        <v>0</v>
      </c>
      <c r="Z62" s="348">
        <v>276.26</v>
      </c>
      <c r="AA62" s="348">
        <v>27.36</v>
      </c>
      <c r="AB62" s="345">
        <v>0</v>
      </c>
      <c r="AC62" s="345">
        <v>0</v>
      </c>
      <c r="AD62" s="348">
        <v>0.5</v>
      </c>
      <c r="AE62" s="345">
        <v>0</v>
      </c>
      <c r="AF62" s="348">
        <v>2396.4085101799997</v>
      </c>
      <c r="AG62" s="348">
        <v>178.38909317</v>
      </c>
      <c r="AH62" s="345">
        <v>0</v>
      </c>
      <c r="AI62" s="348">
        <v>1382.15</v>
      </c>
      <c r="AJ62" s="345">
        <v>0</v>
      </c>
      <c r="AK62" s="348">
        <v>1080.4728814300001</v>
      </c>
      <c r="AL62" s="345">
        <v>0</v>
      </c>
      <c r="AM62" s="345">
        <v>0</v>
      </c>
      <c r="AN62" s="348">
        <v>1587.89909317</v>
      </c>
      <c r="AO62" s="348">
        <v>1587.89909317</v>
      </c>
      <c r="AP62" s="345">
        <v>0</v>
      </c>
      <c r="AQ62" s="345">
        <v>0</v>
      </c>
      <c r="AR62" s="345">
        <v>0</v>
      </c>
      <c r="AS62" s="345">
        <v>0</v>
      </c>
    </row>
    <row r="63" spans="1:47" hidden="1" x14ac:dyDescent="0.25">
      <c r="A63" s="284" t="s">
        <v>38</v>
      </c>
      <c r="B63" s="345">
        <v>0</v>
      </c>
      <c r="C63" s="345">
        <v>0</v>
      </c>
      <c r="D63" s="348">
        <v>128.26499981999999</v>
      </c>
      <c r="E63" s="345">
        <v>0</v>
      </c>
      <c r="F63" s="348">
        <v>6.65</v>
      </c>
      <c r="G63" s="345">
        <v>0</v>
      </c>
      <c r="H63" s="345">
        <v>0</v>
      </c>
      <c r="I63" s="345">
        <v>0</v>
      </c>
      <c r="J63" s="345">
        <v>0</v>
      </c>
      <c r="K63" s="345">
        <v>0</v>
      </c>
      <c r="L63" s="345">
        <v>0</v>
      </c>
      <c r="M63" s="345">
        <v>0</v>
      </c>
      <c r="N63" s="345">
        <v>0</v>
      </c>
      <c r="O63" s="345">
        <v>0</v>
      </c>
      <c r="P63" s="345">
        <v>0</v>
      </c>
      <c r="Q63" s="345">
        <v>0</v>
      </c>
      <c r="R63" s="345">
        <v>0</v>
      </c>
      <c r="S63" s="345">
        <v>0</v>
      </c>
      <c r="T63" s="345">
        <v>0</v>
      </c>
      <c r="U63" s="345">
        <v>0</v>
      </c>
      <c r="V63" s="345">
        <v>0</v>
      </c>
      <c r="W63" s="345">
        <v>0</v>
      </c>
      <c r="X63" s="345">
        <v>0</v>
      </c>
      <c r="Y63" s="345">
        <v>0</v>
      </c>
      <c r="Z63" s="348">
        <v>248.9</v>
      </c>
      <c r="AA63" s="345">
        <v>0</v>
      </c>
      <c r="AB63" s="345">
        <v>0</v>
      </c>
      <c r="AC63" s="345">
        <v>0</v>
      </c>
      <c r="AD63" s="348">
        <v>0.5</v>
      </c>
      <c r="AE63" s="345">
        <v>0</v>
      </c>
      <c r="AF63" s="348">
        <v>2218.0194170100003</v>
      </c>
      <c r="AG63" s="345">
        <v>0</v>
      </c>
      <c r="AH63" s="345">
        <v>0</v>
      </c>
      <c r="AI63" s="348">
        <v>1382.15</v>
      </c>
      <c r="AJ63" s="345">
        <v>0</v>
      </c>
      <c r="AK63" s="348">
        <v>1080.4728814300001</v>
      </c>
      <c r="AL63" s="345">
        <v>0</v>
      </c>
      <c r="AM63" s="345">
        <v>0</v>
      </c>
      <c r="AN63" s="345">
        <v>0</v>
      </c>
      <c r="AO63" s="345">
        <v>0</v>
      </c>
      <c r="AP63" s="345">
        <v>0</v>
      </c>
      <c r="AQ63" s="345">
        <v>0</v>
      </c>
      <c r="AR63" s="345">
        <v>0</v>
      </c>
      <c r="AS63" s="348">
        <v>139.7115354</v>
      </c>
    </row>
    <row r="64" spans="1:47" x14ac:dyDescent="0.25">
      <c r="A64" s="284" t="s">
        <v>39</v>
      </c>
      <c r="B64" s="345">
        <v>0</v>
      </c>
      <c r="C64" s="345">
        <v>0</v>
      </c>
      <c r="D64" s="348">
        <v>128.26499981999999</v>
      </c>
      <c r="E64" s="345">
        <v>0</v>
      </c>
      <c r="F64" s="348">
        <v>6.65</v>
      </c>
      <c r="G64" s="345">
        <v>0</v>
      </c>
      <c r="H64" s="345">
        <v>0</v>
      </c>
      <c r="I64" s="345">
        <v>0</v>
      </c>
      <c r="J64" s="345">
        <v>0</v>
      </c>
      <c r="K64" s="345">
        <v>0</v>
      </c>
      <c r="L64" s="345">
        <v>0</v>
      </c>
      <c r="M64" s="345">
        <v>0</v>
      </c>
      <c r="N64" s="345">
        <v>0</v>
      </c>
      <c r="O64" s="345">
        <v>0</v>
      </c>
      <c r="P64" s="345">
        <v>0</v>
      </c>
      <c r="Q64" s="345">
        <v>0</v>
      </c>
      <c r="R64" s="345">
        <v>0</v>
      </c>
      <c r="S64" s="345">
        <v>0</v>
      </c>
      <c r="T64" s="345">
        <v>0</v>
      </c>
      <c r="U64" s="345">
        <v>0</v>
      </c>
      <c r="V64" s="345">
        <v>0</v>
      </c>
      <c r="W64" s="345">
        <v>0</v>
      </c>
      <c r="X64" s="345">
        <v>0</v>
      </c>
      <c r="Y64" s="345">
        <v>0</v>
      </c>
      <c r="Z64" s="348">
        <v>248.9</v>
      </c>
      <c r="AA64" s="345">
        <v>0</v>
      </c>
      <c r="AB64" s="345">
        <v>0</v>
      </c>
      <c r="AC64" s="345">
        <v>0</v>
      </c>
      <c r="AD64" s="348">
        <v>0.5</v>
      </c>
      <c r="AE64" s="345">
        <v>0</v>
      </c>
      <c r="AF64" s="348">
        <v>2218.0194170100003</v>
      </c>
      <c r="AG64" s="345">
        <v>0</v>
      </c>
      <c r="AH64" s="345">
        <v>0</v>
      </c>
      <c r="AI64" s="348">
        <v>1382.15</v>
      </c>
      <c r="AJ64" s="345">
        <v>0</v>
      </c>
      <c r="AK64" s="348">
        <v>1080.4728814300001</v>
      </c>
      <c r="AL64" s="345">
        <v>0</v>
      </c>
      <c r="AM64" s="345">
        <v>0</v>
      </c>
      <c r="AN64" s="345">
        <v>0</v>
      </c>
      <c r="AO64" s="345">
        <v>0</v>
      </c>
      <c r="AP64" s="345">
        <v>0</v>
      </c>
      <c r="AQ64" s="345">
        <v>0</v>
      </c>
      <c r="AR64" s="345">
        <v>0</v>
      </c>
      <c r="AS64" s="348">
        <v>139.7115354</v>
      </c>
      <c r="AU64">
        <f>SUBTOTAL(9,F64:AG64)</f>
        <v>2474.0694170100005</v>
      </c>
    </row>
    <row r="65" spans="1:47" hidden="1" x14ac:dyDescent="0.25">
      <c r="A65" s="155">
        <v>1</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s="487">
        <v>0</v>
      </c>
    </row>
    <row r="66" spans="1:47" hidden="1" x14ac:dyDescent="0.25">
      <c r="A66" s="155" t="s">
        <v>48</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s="487">
        <v>0</v>
      </c>
    </row>
    <row r="67" spans="1:47" hidden="1" x14ac:dyDescent="0.25">
      <c r="A67" s="284" t="s">
        <v>36</v>
      </c>
      <c r="B67" s="345">
        <v>0</v>
      </c>
      <c r="C67" s="345">
        <v>0</v>
      </c>
      <c r="D67" s="348">
        <v>1.1195914499999999</v>
      </c>
      <c r="E67" s="345">
        <v>0</v>
      </c>
      <c r="F67" s="345">
        <v>0</v>
      </c>
      <c r="G67" s="345">
        <v>0</v>
      </c>
      <c r="H67" s="345">
        <v>0</v>
      </c>
      <c r="I67" s="345">
        <v>0</v>
      </c>
      <c r="J67" s="345">
        <v>0</v>
      </c>
      <c r="K67" s="345">
        <v>0</v>
      </c>
      <c r="L67" s="345">
        <v>0</v>
      </c>
      <c r="M67" s="345">
        <v>0</v>
      </c>
      <c r="N67" s="345">
        <v>0</v>
      </c>
      <c r="O67" s="345">
        <v>0</v>
      </c>
      <c r="P67" s="345">
        <v>0</v>
      </c>
      <c r="Q67" s="345">
        <v>0</v>
      </c>
      <c r="R67" s="345">
        <v>0</v>
      </c>
      <c r="S67" s="345">
        <v>0</v>
      </c>
      <c r="T67" s="345">
        <v>0</v>
      </c>
      <c r="U67" s="345">
        <v>0</v>
      </c>
      <c r="V67" s="345">
        <v>0</v>
      </c>
      <c r="W67" s="345">
        <v>0</v>
      </c>
      <c r="X67" s="345">
        <v>0</v>
      </c>
      <c r="Y67" s="345">
        <v>0</v>
      </c>
      <c r="Z67" s="345">
        <v>0</v>
      </c>
      <c r="AA67" s="345">
        <v>0</v>
      </c>
      <c r="AB67" s="345">
        <v>0</v>
      </c>
      <c r="AC67" s="345">
        <v>0</v>
      </c>
      <c r="AD67" s="345">
        <v>0</v>
      </c>
      <c r="AE67" s="345">
        <v>0</v>
      </c>
      <c r="AF67" s="345">
        <v>0</v>
      </c>
      <c r="AG67" s="345">
        <v>0</v>
      </c>
      <c r="AH67" s="345">
        <v>0</v>
      </c>
      <c r="AI67" s="345">
        <v>0</v>
      </c>
      <c r="AJ67" s="345">
        <v>0</v>
      </c>
      <c r="AK67" s="345">
        <v>0</v>
      </c>
      <c r="AL67" s="345">
        <v>0</v>
      </c>
      <c r="AM67" s="345">
        <v>0</v>
      </c>
      <c r="AN67" s="345">
        <v>0</v>
      </c>
      <c r="AO67" s="345">
        <v>0</v>
      </c>
      <c r="AP67" s="345">
        <v>0</v>
      </c>
      <c r="AQ67" s="345">
        <v>0</v>
      </c>
      <c r="AR67" s="345">
        <v>0</v>
      </c>
      <c r="AS67" s="348">
        <v>1.1195914499999999</v>
      </c>
    </row>
    <row r="68" spans="1:47" hidden="1" x14ac:dyDescent="0.25">
      <c r="A68" s="284" t="s">
        <v>37</v>
      </c>
      <c r="B68" s="348">
        <v>60.08267</v>
      </c>
      <c r="C68" s="348">
        <v>60.08267</v>
      </c>
      <c r="D68" s="348">
        <v>1944.3433515899999</v>
      </c>
      <c r="E68" s="348">
        <v>1921.6395809000001</v>
      </c>
      <c r="F68" s="345">
        <v>0</v>
      </c>
      <c r="G68" s="345">
        <v>0</v>
      </c>
      <c r="H68" s="345">
        <v>0</v>
      </c>
      <c r="I68" s="345">
        <v>0</v>
      </c>
      <c r="J68" s="345">
        <v>0</v>
      </c>
      <c r="K68" s="345">
        <v>0</v>
      </c>
      <c r="L68" s="345">
        <v>0</v>
      </c>
      <c r="M68" s="345">
        <v>0</v>
      </c>
      <c r="N68" s="345">
        <v>0</v>
      </c>
      <c r="O68" s="345">
        <v>0</v>
      </c>
      <c r="P68" s="345">
        <v>0</v>
      </c>
      <c r="Q68" s="345">
        <v>0</v>
      </c>
      <c r="R68" s="345">
        <v>0</v>
      </c>
      <c r="S68" s="345">
        <v>0</v>
      </c>
      <c r="T68" s="345">
        <v>0</v>
      </c>
      <c r="U68" s="345">
        <v>0</v>
      </c>
      <c r="V68" s="345">
        <v>0</v>
      </c>
      <c r="W68" s="345">
        <v>0</v>
      </c>
      <c r="X68" s="345">
        <v>0</v>
      </c>
      <c r="Y68" s="345">
        <v>0</v>
      </c>
      <c r="Z68" s="348">
        <v>290.2</v>
      </c>
      <c r="AA68" s="345">
        <v>0</v>
      </c>
      <c r="AB68" s="345">
        <v>0</v>
      </c>
      <c r="AC68" s="345">
        <v>0</v>
      </c>
      <c r="AD68" s="348">
        <v>0.5</v>
      </c>
      <c r="AE68" s="345">
        <v>0</v>
      </c>
      <c r="AF68" s="348">
        <v>1629.504651</v>
      </c>
      <c r="AG68" s="348">
        <v>56.345993</v>
      </c>
      <c r="AH68" s="345">
        <v>0</v>
      </c>
      <c r="AI68" s="348">
        <v>1059.7366770000001</v>
      </c>
      <c r="AJ68" s="348">
        <v>1.4349299</v>
      </c>
      <c r="AK68" s="348">
        <v>828.26068158999999</v>
      </c>
      <c r="AL68" s="345">
        <v>0</v>
      </c>
      <c r="AM68" s="345">
        <v>0</v>
      </c>
      <c r="AN68" s="348">
        <v>60.08267</v>
      </c>
      <c r="AO68" s="348">
        <v>60.08267</v>
      </c>
      <c r="AP68" s="348">
        <v>290.2</v>
      </c>
      <c r="AQ68" s="348">
        <v>290.2</v>
      </c>
      <c r="AR68" s="345">
        <v>0</v>
      </c>
      <c r="AS68" s="345">
        <v>0</v>
      </c>
    </row>
    <row r="69" spans="1:47" hidden="1" x14ac:dyDescent="0.25">
      <c r="A69" s="284" t="s">
        <v>38</v>
      </c>
      <c r="B69" s="345">
        <v>0</v>
      </c>
      <c r="C69" s="345">
        <v>0</v>
      </c>
      <c r="D69" s="348">
        <v>23.82336214</v>
      </c>
      <c r="E69" s="345">
        <v>0</v>
      </c>
      <c r="F69" s="345">
        <v>0</v>
      </c>
      <c r="G69" s="345">
        <v>0</v>
      </c>
      <c r="H69" s="345">
        <v>0</v>
      </c>
      <c r="I69" s="345">
        <v>0</v>
      </c>
      <c r="J69" s="345">
        <v>0</v>
      </c>
      <c r="K69" s="345">
        <v>0</v>
      </c>
      <c r="L69" s="345">
        <v>0</v>
      </c>
      <c r="M69" s="345">
        <v>0</v>
      </c>
      <c r="N69" s="345">
        <v>0</v>
      </c>
      <c r="O69" s="345">
        <v>0</v>
      </c>
      <c r="P69" s="345">
        <v>0</v>
      </c>
      <c r="Q69" s="345">
        <v>0</v>
      </c>
      <c r="R69" s="345">
        <v>0</v>
      </c>
      <c r="S69" s="345">
        <v>0</v>
      </c>
      <c r="T69" s="345">
        <v>0</v>
      </c>
      <c r="U69" s="345">
        <v>0</v>
      </c>
      <c r="V69" s="345">
        <v>0</v>
      </c>
      <c r="W69" s="345">
        <v>0</v>
      </c>
      <c r="X69" s="345">
        <v>0</v>
      </c>
      <c r="Y69" s="345">
        <v>0</v>
      </c>
      <c r="Z69" s="348">
        <v>290.2</v>
      </c>
      <c r="AA69" s="345">
        <v>0</v>
      </c>
      <c r="AB69" s="345">
        <v>0</v>
      </c>
      <c r="AC69" s="345">
        <v>0</v>
      </c>
      <c r="AD69" s="348">
        <v>0.5</v>
      </c>
      <c r="AE69" s="345">
        <v>0</v>
      </c>
      <c r="AF69" s="348">
        <v>1573.1586580000001</v>
      </c>
      <c r="AG69" s="345">
        <v>0</v>
      </c>
      <c r="AH69" s="345">
        <v>0</v>
      </c>
      <c r="AI69" s="348">
        <v>1059.7366770000001</v>
      </c>
      <c r="AJ69" s="345">
        <v>0</v>
      </c>
      <c r="AK69" s="348">
        <v>826.82575169000006</v>
      </c>
      <c r="AL69" s="345">
        <v>0</v>
      </c>
      <c r="AM69" s="345">
        <v>0</v>
      </c>
      <c r="AN69" s="345">
        <v>0</v>
      </c>
      <c r="AO69" s="345">
        <v>0</v>
      </c>
      <c r="AP69" s="345">
        <v>0</v>
      </c>
      <c r="AQ69" s="345">
        <v>0</v>
      </c>
      <c r="AR69" s="345">
        <v>0</v>
      </c>
      <c r="AS69" s="348">
        <v>1.1195914499999999</v>
      </c>
    </row>
    <row r="70" spans="1:47" x14ac:dyDescent="0.25">
      <c r="A70" s="284" t="s">
        <v>39</v>
      </c>
      <c r="B70" s="345">
        <v>0</v>
      </c>
      <c r="C70" s="345">
        <v>0</v>
      </c>
      <c r="D70" s="348">
        <v>23.82336214</v>
      </c>
      <c r="E70" s="345">
        <v>0</v>
      </c>
      <c r="F70" s="345">
        <v>0</v>
      </c>
      <c r="G70" s="345">
        <v>0</v>
      </c>
      <c r="H70" s="345">
        <v>0</v>
      </c>
      <c r="I70" s="345">
        <v>0</v>
      </c>
      <c r="J70" s="345">
        <v>0</v>
      </c>
      <c r="K70" s="345">
        <v>0</v>
      </c>
      <c r="L70" s="345">
        <v>0</v>
      </c>
      <c r="M70" s="345">
        <v>0</v>
      </c>
      <c r="N70" s="345">
        <v>0</v>
      </c>
      <c r="O70" s="345">
        <v>0</v>
      </c>
      <c r="P70" s="345">
        <v>0</v>
      </c>
      <c r="Q70" s="345">
        <v>0</v>
      </c>
      <c r="R70" s="345">
        <v>0</v>
      </c>
      <c r="S70" s="345">
        <v>0</v>
      </c>
      <c r="T70" s="345">
        <v>0</v>
      </c>
      <c r="U70" s="345">
        <v>0</v>
      </c>
      <c r="V70" s="345">
        <v>0</v>
      </c>
      <c r="W70" s="345">
        <v>0</v>
      </c>
      <c r="X70" s="345">
        <v>0</v>
      </c>
      <c r="Y70" s="345">
        <v>0</v>
      </c>
      <c r="Z70" s="348">
        <v>290.2</v>
      </c>
      <c r="AA70" s="345">
        <v>0</v>
      </c>
      <c r="AB70" s="345">
        <v>0</v>
      </c>
      <c r="AC70" s="345">
        <v>0</v>
      </c>
      <c r="AD70" s="348">
        <v>0.5</v>
      </c>
      <c r="AE70" s="345">
        <v>0</v>
      </c>
      <c r="AF70" s="348">
        <v>1573.1586580000001</v>
      </c>
      <c r="AG70" s="345">
        <v>0</v>
      </c>
      <c r="AH70" s="345">
        <v>0</v>
      </c>
      <c r="AI70" s="348">
        <v>1059.7366770000001</v>
      </c>
      <c r="AJ70" s="345">
        <v>0</v>
      </c>
      <c r="AK70" s="348">
        <v>826.82575169000006</v>
      </c>
      <c r="AL70" s="345">
        <v>0</v>
      </c>
      <c r="AM70" s="345">
        <v>0</v>
      </c>
      <c r="AN70" s="345">
        <v>0</v>
      </c>
      <c r="AO70" s="345">
        <v>0</v>
      </c>
      <c r="AP70" s="345">
        <v>0</v>
      </c>
      <c r="AQ70" s="345">
        <v>0</v>
      </c>
      <c r="AR70" s="345">
        <v>0</v>
      </c>
      <c r="AS70" s="348">
        <v>1.1195914499999999</v>
      </c>
      <c r="AU70">
        <f>SUBTOTAL(9,F70:AG70)</f>
        <v>1863.8586580000001</v>
      </c>
    </row>
    <row r="71" spans="1:47" hidden="1" x14ac:dyDescent="0.25">
      <c r="A71" s="155">
        <v>1</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s="487">
        <v>0</v>
      </c>
    </row>
    <row r="72" spans="1:47" hidden="1" x14ac:dyDescent="0.25">
      <c r="A72" s="155" t="s">
        <v>49</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s="487">
        <v>0</v>
      </c>
    </row>
    <row r="73" spans="1:47" hidden="1" x14ac:dyDescent="0.25">
      <c r="A73" s="284" t="s">
        <v>36</v>
      </c>
      <c r="B73" s="345">
        <v>0</v>
      </c>
      <c r="C73" s="345">
        <v>0</v>
      </c>
      <c r="D73" s="348">
        <v>101.48552218</v>
      </c>
      <c r="E73" s="345">
        <v>0</v>
      </c>
      <c r="F73" s="345">
        <v>0</v>
      </c>
      <c r="G73" s="345">
        <v>0</v>
      </c>
      <c r="H73" s="345">
        <v>0</v>
      </c>
      <c r="I73" s="345">
        <v>0</v>
      </c>
      <c r="J73" s="345">
        <v>0</v>
      </c>
      <c r="K73" s="345">
        <v>0</v>
      </c>
      <c r="L73" s="345">
        <v>0</v>
      </c>
      <c r="M73" s="345">
        <v>0</v>
      </c>
      <c r="N73" s="345">
        <v>0</v>
      </c>
      <c r="O73" s="345">
        <v>0</v>
      </c>
      <c r="P73" s="345">
        <v>0</v>
      </c>
      <c r="Q73" s="345">
        <v>0</v>
      </c>
      <c r="R73" s="345">
        <v>0</v>
      </c>
      <c r="S73" s="345">
        <v>0</v>
      </c>
      <c r="T73" s="345">
        <v>0</v>
      </c>
      <c r="U73" s="345">
        <v>0</v>
      </c>
      <c r="V73" s="345">
        <v>0</v>
      </c>
      <c r="W73" s="345">
        <v>0</v>
      </c>
      <c r="X73" s="345">
        <v>0</v>
      </c>
      <c r="Y73" s="345">
        <v>0</v>
      </c>
      <c r="Z73" s="345">
        <v>0</v>
      </c>
      <c r="AA73" s="345">
        <v>0</v>
      </c>
      <c r="AB73" s="345">
        <v>0</v>
      </c>
      <c r="AC73" s="345">
        <v>0</v>
      </c>
      <c r="AD73" s="345">
        <v>0</v>
      </c>
      <c r="AE73" s="345">
        <v>0</v>
      </c>
      <c r="AF73" s="345">
        <v>0</v>
      </c>
      <c r="AG73" s="345">
        <v>0</v>
      </c>
      <c r="AH73" s="345">
        <v>0</v>
      </c>
      <c r="AI73" s="345">
        <v>0</v>
      </c>
      <c r="AJ73" s="345">
        <v>0</v>
      </c>
      <c r="AK73" s="345">
        <v>0</v>
      </c>
      <c r="AL73" s="345">
        <v>0</v>
      </c>
      <c r="AM73" s="345">
        <v>0</v>
      </c>
      <c r="AN73" s="345">
        <v>0</v>
      </c>
      <c r="AO73" s="345">
        <v>0</v>
      </c>
      <c r="AP73" s="345">
        <v>0</v>
      </c>
      <c r="AQ73" s="345">
        <v>0</v>
      </c>
      <c r="AR73" s="345">
        <v>0</v>
      </c>
      <c r="AS73" s="348">
        <v>101.48552218</v>
      </c>
    </row>
    <row r="74" spans="1:47" hidden="1" x14ac:dyDescent="0.25">
      <c r="A74" s="284" t="s">
        <v>37</v>
      </c>
      <c r="B74" s="348">
        <v>1139.24</v>
      </c>
      <c r="C74" s="348">
        <v>1139.24</v>
      </c>
      <c r="D74" s="348">
        <v>2061.47123547</v>
      </c>
      <c r="E74" s="348">
        <v>2145.7005229199999</v>
      </c>
      <c r="F74" s="345">
        <v>0</v>
      </c>
      <c r="G74" s="345">
        <v>0</v>
      </c>
      <c r="H74" s="345">
        <v>0</v>
      </c>
      <c r="I74" s="345">
        <v>0</v>
      </c>
      <c r="J74" s="345">
        <v>0</v>
      </c>
      <c r="K74" s="345">
        <v>0</v>
      </c>
      <c r="L74" s="345">
        <v>0</v>
      </c>
      <c r="M74" s="345">
        <v>0</v>
      </c>
      <c r="N74" s="345">
        <v>0</v>
      </c>
      <c r="O74" s="345">
        <v>0</v>
      </c>
      <c r="P74" s="345">
        <v>0</v>
      </c>
      <c r="Q74" s="345">
        <v>0</v>
      </c>
      <c r="R74" s="345">
        <v>0</v>
      </c>
      <c r="S74" s="345">
        <v>0</v>
      </c>
      <c r="T74" s="345">
        <v>0</v>
      </c>
      <c r="U74" s="345">
        <v>0</v>
      </c>
      <c r="V74" s="345">
        <v>0</v>
      </c>
      <c r="W74" s="345">
        <v>0</v>
      </c>
      <c r="X74" s="345">
        <v>0</v>
      </c>
      <c r="Y74" s="345">
        <v>0</v>
      </c>
      <c r="Z74" s="345">
        <v>0</v>
      </c>
      <c r="AA74" s="345">
        <v>0</v>
      </c>
      <c r="AB74" s="345">
        <v>0</v>
      </c>
      <c r="AC74" s="345">
        <v>0</v>
      </c>
      <c r="AD74" s="348">
        <v>1</v>
      </c>
      <c r="AE74" s="345">
        <v>0</v>
      </c>
      <c r="AF74" s="348">
        <v>2144.578125</v>
      </c>
      <c r="AG74" s="348">
        <v>162.24</v>
      </c>
      <c r="AH74" s="345">
        <v>0</v>
      </c>
      <c r="AI74" s="348">
        <v>1170</v>
      </c>
      <c r="AJ74" s="348">
        <v>0.12239791999999999</v>
      </c>
      <c r="AK74" s="348">
        <v>725.43123547000005</v>
      </c>
      <c r="AL74" s="345">
        <v>0</v>
      </c>
      <c r="AM74" s="348">
        <v>3.8</v>
      </c>
      <c r="AN74" s="348">
        <v>1139.24</v>
      </c>
      <c r="AO74" s="348">
        <v>1139.24</v>
      </c>
      <c r="AP74" s="345">
        <v>0</v>
      </c>
      <c r="AQ74" s="345">
        <v>0</v>
      </c>
      <c r="AR74" s="345">
        <v>0</v>
      </c>
      <c r="AS74" s="345">
        <v>0</v>
      </c>
    </row>
    <row r="75" spans="1:47" hidden="1" x14ac:dyDescent="0.25">
      <c r="A75" s="284" t="s">
        <v>38</v>
      </c>
      <c r="B75" s="345">
        <v>0</v>
      </c>
      <c r="C75" s="345">
        <v>0</v>
      </c>
      <c r="D75" s="348">
        <v>17.256234729999999</v>
      </c>
      <c r="E75" s="345">
        <v>0</v>
      </c>
      <c r="F75" s="345">
        <v>0</v>
      </c>
      <c r="G75" s="345">
        <v>0</v>
      </c>
      <c r="H75" s="345">
        <v>0</v>
      </c>
      <c r="I75" s="345">
        <v>0</v>
      </c>
      <c r="J75" s="345">
        <v>0</v>
      </c>
      <c r="K75" s="345">
        <v>0</v>
      </c>
      <c r="L75" s="345">
        <v>0</v>
      </c>
      <c r="M75" s="345">
        <v>0</v>
      </c>
      <c r="N75" s="345">
        <v>0</v>
      </c>
      <c r="O75" s="345">
        <v>0</v>
      </c>
      <c r="P75" s="345">
        <v>0</v>
      </c>
      <c r="Q75" s="345">
        <v>0</v>
      </c>
      <c r="R75" s="345">
        <v>0</v>
      </c>
      <c r="S75" s="345">
        <v>0</v>
      </c>
      <c r="T75" s="345">
        <v>0</v>
      </c>
      <c r="U75" s="345">
        <v>0</v>
      </c>
      <c r="V75" s="345">
        <v>0</v>
      </c>
      <c r="W75" s="345">
        <v>0</v>
      </c>
      <c r="X75" s="345">
        <v>0</v>
      </c>
      <c r="Y75" s="345">
        <v>0</v>
      </c>
      <c r="Z75" s="345">
        <v>0</v>
      </c>
      <c r="AA75" s="345">
        <v>0</v>
      </c>
      <c r="AB75" s="345">
        <v>0</v>
      </c>
      <c r="AC75" s="345">
        <v>0</v>
      </c>
      <c r="AD75" s="348">
        <v>1</v>
      </c>
      <c r="AE75" s="345">
        <v>0</v>
      </c>
      <c r="AF75" s="348">
        <v>1982.338125</v>
      </c>
      <c r="AG75" s="345">
        <v>0</v>
      </c>
      <c r="AH75" s="345">
        <v>0</v>
      </c>
      <c r="AI75" s="348">
        <v>1170</v>
      </c>
      <c r="AJ75" s="345">
        <v>0</v>
      </c>
      <c r="AK75" s="348">
        <v>725.30883754999991</v>
      </c>
      <c r="AL75" s="345">
        <v>0</v>
      </c>
      <c r="AM75" s="348">
        <v>3.8</v>
      </c>
      <c r="AN75" s="345">
        <v>0</v>
      </c>
      <c r="AO75" s="345">
        <v>0</v>
      </c>
      <c r="AP75" s="345">
        <v>0</v>
      </c>
      <c r="AQ75" s="345">
        <v>0</v>
      </c>
      <c r="AR75" s="345">
        <v>0</v>
      </c>
      <c r="AS75" s="348">
        <v>101.48552218</v>
      </c>
    </row>
    <row r="76" spans="1:47" x14ac:dyDescent="0.25">
      <c r="A76" s="284" t="s">
        <v>39</v>
      </c>
      <c r="B76" s="345">
        <v>0</v>
      </c>
      <c r="C76" s="345">
        <v>0</v>
      </c>
      <c r="D76" s="348">
        <v>17.256234729999999</v>
      </c>
      <c r="E76" s="345">
        <v>0</v>
      </c>
      <c r="F76" s="345">
        <v>0</v>
      </c>
      <c r="G76" s="345">
        <v>0</v>
      </c>
      <c r="H76" s="345">
        <v>0</v>
      </c>
      <c r="I76" s="345">
        <v>0</v>
      </c>
      <c r="J76" s="345">
        <v>0</v>
      </c>
      <c r="K76" s="345">
        <v>0</v>
      </c>
      <c r="L76" s="345">
        <v>0</v>
      </c>
      <c r="M76" s="345">
        <v>0</v>
      </c>
      <c r="N76" s="345">
        <v>0</v>
      </c>
      <c r="O76" s="345">
        <v>0</v>
      </c>
      <c r="P76" s="345">
        <v>0</v>
      </c>
      <c r="Q76" s="345">
        <v>0</v>
      </c>
      <c r="R76" s="345">
        <v>0</v>
      </c>
      <c r="S76" s="345">
        <v>0</v>
      </c>
      <c r="T76" s="345">
        <v>0</v>
      </c>
      <c r="U76" s="345">
        <v>0</v>
      </c>
      <c r="V76" s="345">
        <v>0</v>
      </c>
      <c r="W76" s="345">
        <v>0</v>
      </c>
      <c r="X76" s="345">
        <v>0</v>
      </c>
      <c r="Y76" s="345">
        <v>0</v>
      </c>
      <c r="Z76" s="345">
        <v>0</v>
      </c>
      <c r="AA76" s="345">
        <v>0</v>
      </c>
      <c r="AB76" s="345">
        <v>0</v>
      </c>
      <c r="AC76" s="345">
        <v>0</v>
      </c>
      <c r="AD76" s="348">
        <v>1</v>
      </c>
      <c r="AE76" s="345">
        <v>0</v>
      </c>
      <c r="AF76" s="348">
        <v>1982.338125</v>
      </c>
      <c r="AG76" s="345">
        <v>0</v>
      </c>
      <c r="AH76" s="345">
        <v>0</v>
      </c>
      <c r="AI76" s="348">
        <v>1170</v>
      </c>
      <c r="AJ76" s="345">
        <v>0</v>
      </c>
      <c r="AK76" s="348">
        <v>725.30883754999991</v>
      </c>
      <c r="AL76" s="345">
        <v>0</v>
      </c>
      <c r="AM76" s="348">
        <v>3.8</v>
      </c>
      <c r="AN76" s="345">
        <v>0</v>
      </c>
      <c r="AO76" s="345">
        <v>0</v>
      </c>
      <c r="AP76" s="345">
        <v>0</v>
      </c>
      <c r="AQ76" s="345">
        <v>0</v>
      </c>
      <c r="AR76" s="345">
        <v>0</v>
      </c>
      <c r="AS76" s="348">
        <v>101.48552218</v>
      </c>
      <c r="AU76">
        <f>SUBTOTAL(9,F76:AG76)</f>
        <v>1983.338125</v>
      </c>
    </row>
    <row r="77" spans="1:47" hidden="1" x14ac:dyDescent="0.25">
      <c r="A77" s="155">
        <v>1</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s="487">
        <v>0</v>
      </c>
    </row>
    <row r="78" spans="1:47" hidden="1" x14ac:dyDescent="0.25">
      <c r="A78" s="155" t="s">
        <v>50</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s="487">
        <v>0</v>
      </c>
    </row>
    <row r="79" spans="1:47" hidden="1" x14ac:dyDescent="0.25">
      <c r="A79" s="284" t="s">
        <v>36</v>
      </c>
      <c r="B79" s="345">
        <v>0</v>
      </c>
      <c r="C79" s="345">
        <v>0</v>
      </c>
      <c r="D79" s="348">
        <v>4.9037842600000001</v>
      </c>
      <c r="E79" s="345">
        <v>0</v>
      </c>
      <c r="F79" s="345">
        <v>0</v>
      </c>
      <c r="G79" s="345">
        <v>0</v>
      </c>
      <c r="H79" s="345">
        <v>0</v>
      </c>
      <c r="I79" s="345">
        <v>0</v>
      </c>
      <c r="J79" s="345">
        <v>0</v>
      </c>
      <c r="K79" s="345">
        <v>0</v>
      </c>
      <c r="L79" s="345">
        <v>0</v>
      </c>
      <c r="M79" s="345">
        <v>0</v>
      </c>
      <c r="N79" s="345">
        <v>0</v>
      </c>
      <c r="O79" s="345">
        <v>0</v>
      </c>
      <c r="P79" s="345">
        <v>0</v>
      </c>
      <c r="Q79" s="345">
        <v>0</v>
      </c>
      <c r="R79" s="345">
        <v>0</v>
      </c>
      <c r="S79" s="345">
        <v>0</v>
      </c>
      <c r="T79" s="345">
        <v>0</v>
      </c>
      <c r="U79" s="345">
        <v>0</v>
      </c>
      <c r="V79" s="345">
        <v>0</v>
      </c>
      <c r="W79" s="345">
        <v>0</v>
      </c>
      <c r="X79" s="345">
        <v>0</v>
      </c>
      <c r="Y79" s="345">
        <v>0</v>
      </c>
      <c r="Z79" s="345">
        <v>0</v>
      </c>
      <c r="AA79" s="345">
        <v>0</v>
      </c>
      <c r="AB79" s="345">
        <v>0</v>
      </c>
      <c r="AC79" s="345">
        <v>0</v>
      </c>
      <c r="AD79" s="345">
        <v>0</v>
      </c>
      <c r="AE79" s="345">
        <v>0</v>
      </c>
      <c r="AF79" s="345">
        <v>0</v>
      </c>
      <c r="AG79" s="345">
        <v>0</v>
      </c>
      <c r="AH79" s="345">
        <v>0</v>
      </c>
      <c r="AI79" s="345">
        <v>0</v>
      </c>
      <c r="AJ79" s="345">
        <v>0</v>
      </c>
      <c r="AK79" s="345">
        <v>0</v>
      </c>
      <c r="AL79" s="345">
        <v>0</v>
      </c>
      <c r="AM79" s="345">
        <v>0</v>
      </c>
      <c r="AN79" s="345">
        <v>0</v>
      </c>
      <c r="AO79" s="345">
        <v>0</v>
      </c>
      <c r="AP79" s="345">
        <v>0</v>
      </c>
      <c r="AQ79" s="345">
        <v>0</v>
      </c>
      <c r="AR79" s="345">
        <v>0</v>
      </c>
      <c r="AS79" s="348">
        <v>4.9037842600000001</v>
      </c>
    </row>
    <row r="80" spans="1:47" hidden="1" x14ac:dyDescent="0.25">
      <c r="A80" s="284" t="s">
        <v>37</v>
      </c>
      <c r="B80" s="348">
        <v>34.335999999999999</v>
      </c>
      <c r="C80" s="348">
        <v>34.335999999999999</v>
      </c>
      <c r="D80" s="348">
        <v>1927.8072188499998</v>
      </c>
      <c r="E80" s="348">
        <v>1861.14316925</v>
      </c>
      <c r="F80" s="345">
        <v>0</v>
      </c>
      <c r="G80" s="345">
        <v>0</v>
      </c>
      <c r="H80" s="345">
        <v>0</v>
      </c>
      <c r="I80" s="345">
        <v>0</v>
      </c>
      <c r="J80" s="345">
        <v>0</v>
      </c>
      <c r="K80" s="345">
        <v>0</v>
      </c>
      <c r="L80" s="345">
        <v>0</v>
      </c>
      <c r="M80" s="345">
        <v>0</v>
      </c>
      <c r="N80" s="345">
        <v>0</v>
      </c>
      <c r="O80" s="345">
        <v>0</v>
      </c>
      <c r="P80" s="345">
        <v>0</v>
      </c>
      <c r="Q80" s="345">
        <v>0</v>
      </c>
      <c r="R80" s="345">
        <v>0</v>
      </c>
      <c r="S80" s="345">
        <v>0</v>
      </c>
      <c r="T80" s="345">
        <v>0</v>
      </c>
      <c r="U80" s="345">
        <v>0</v>
      </c>
      <c r="V80" s="345">
        <v>0</v>
      </c>
      <c r="W80" s="345">
        <v>0</v>
      </c>
      <c r="X80" s="345">
        <v>0</v>
      </c>
      <c r="Y80" s="345">
        <v>0</v>
      </c>
      <c r="Z80" s="348">
        <v>28.05</v>
      </c>
      <c r="AA80" s="348">
        <v>4.2140000000000004</v>
      </c>
      <c r="AB80" s="348">
        <v>3.5640000000000001</v>
      </c>
      <c r="AC80" s="348">
        <v>1.4850000000000001</v>
      </c>
      <c r="AD80" s="348">
        <v>0.2</v>
      </c>
      <c r="AE80" s="345">
        <v>0</v>
      </c>
      <c r="AF80" s="348">
        <v>1779.1127260000001</v>
      </c>
      <c r="AG80" s="348">
        <v>28.637</v>
      </c>
      <c r="AH80" s="348">
        <v>50</v>
      </c>
      <c r="AI80" s="348">
        <v>1350.96</v>
      </c>
      <c r="AJ80" s="348">
        <v>0.21644325</v>
      </c>
      <c r="AK80" s="348">
        <v>542.51121884999998</v>
      </c>
      <c r="AL80" s="345">
        <v>0</v>
      </c>
      <c r="AM80" s="345">
        <v>0</v>
      </c>
      <c r="AN80" s="348">
        <v>34.335999999999999</v>
      </c>
      <c r="AO80" s="348">
        <v>34.335999999999999</v>
      </c>
      <c r="AP80" s="345">
        <v>0</v>
      </c>
      <c r="AQ80" s="345">
        <v>0</v>
      </c>
      <c r="AR80" s="345">
        <v>0</v>
      </c>
      <c r="AS80" s="345">
        <v>0</v>
      </c>
    </row>
    <row r="81" spans="1:47" hidden="1" x14ac:dyDescent="0.25">
      <c r="A81" s="284" t="s">
        <v>38</v>
      </c>
      <c r="B81" s="345">
        <v>0</v>
      </c>
      <c r="C81" s="345">
        <v>0</v>
      </c>
      <c r="D81" s="348">
        <v>71.567833859999993</v>
      </c>
      <c r="E81" s="345">
        <v>0</v>
      </c>
      <c r="F81" s="345">
        <v>0</v>
      </c>
      <c r="G81" s="345">
        <v>0</v>
      </c>
      <c r="H81" s="345">
        <v>0</v>
      </c>
      <c r="I81" s="345">
        <v>0</v>
      </c>
      <c r="J81" s="345">
        <v>0</v>
      </c>
      <c r="K81" s="345">
        <v>0</v>
      </c>
      <c r="L81" s="345">
        <v>0</v>
      </c>
      <c r="M81" s="345">
        <v>0</v>
      </c>
      <c r="N81" s="345">
        <v>0</v>
      </c>
      <c r="O81" s="345">
        <v>0</v>
      </c>
      <c r="P81" s="345">
        <v>0</v>
      </c>
      <c r="Q81" s="345">
        <v>0</v>
      </c>
      <c r="R81" s="345">
        <v>0</v>
      </c>
      <c r="S81" s="345">
        <v>0</v>
      </c>
      <c r="T81" s="345">
        <v>0</v>
      </c>
      <c r="U81" s="345">
        <v>0</v>
      </c>
      <c r="V81" s="345">
        <v>0</v>
      </c>
      <c r="W81" s="345">
        <v>0</v>
      </c>
      <c r="X81" s="345">
        <v>0</v>
      </c>
      <c r="Y81" s="345">
        <v>0</v>
      </c>
      <c r="Z81" s="348">
        <v>23.835999999999999</v>
      </c>
      <c r="AA81" s="345">
        <v>0</v>
      </c>
      <c r="AB81" s="348">
        <v>2.0790000000000002</v>
      </c>
      <c r="AC81" s="345">
        <v>0</v>
      </c>
      <c r="AD81" s="348">
        <v>0.2</v>
      </c>
      <c r="AE81" s="345">
        <v>0</v>
      </c>
      <c r="AF81" s="348">
        <v>1750.4757259999999</v>
      </c>
      <c r="AG81" s="345">
        <v>0</v>
      </c>
      <c r="AH81" s="345">
        <v>0</v>
      </c>
      <c r="AI81" s="348">
        <v>1300.96</v>
      </c>
      <c r="AJ81" s="345">
        <v>0</v>
      </c>
      <c r="AK81" s="348">
        <v>542.29477559999998</v>
      </c>
      <c r="AL81" s="345">
        <v>0</v>
      </c>
      <c r="AM81" s="345">
        <v>0</v>
      </c>
      <c r="AN81" s="345">
        <v>0</v>
      </c>
      <c r="AO81" s="345">
        <v>0</v>
      </c>
      <c r="AP81" s="345">
        <v>0</v>
      </c>
      <c r="AQ81" s="345">
        <v>0</v>
      </c>
      <c r="AR81" s="345">
        <v>0</v>
      </c>
      <c r="AS81" s="348">
        <v>4.9037842600000001</v>
      </c>
    </row>
    <row r="82" spans="1:47" x14ac:dyDescent="0.25">
      <c r="A82" s="284" t="s">
        <v>39</v>
      </c>
      <c r="B82" s="345">
        <v>0</v>
      </c>
      <c r="C82" s="345">
        <v>0</v>
      </c>
      <c r="D82" s="348">
        <v>71.567833859999993</v>
      </c>
      <c r="E82" s="345">
        <v>0</v>
      </c>
      <c r="F82" s="345">
        <v>0</v>
      </c>
      <c r="G82" s="345">
        <v>0</v>
      </c>
      <c r="H82" s="345">
        <v>0</v>
      </c>
      <c r="I82" s="345">
        <v>0</v>
      </c>
      <c r="J82" s="345">
        <v>0</v>
      </c>
      <c r="K82" s="345">
        <v>0</v>
      </c>
      <c r="L82" s="345">
        <v>0</v>
      </c>
      <c r="M82" s="345">
        <v>0</v>
      </c>
      <c r="N82" s="345">
        <v>0</v>
      </c>
      <c r="O82" s="345">
        <v>0</v>
      </c>
      <c r="P82" s="345">
        <v>0</v>
      </c>
      <c r="Q82" s="345">
        <v>0</v>
      </c>
      <c r="R82" s="345">
        <v>0</v>
      </c>
      <c r="S82" s="345">
        <v>0</v>
      </c>
      <c r="T82" s="345">
        <v>0</v>
      </c>
      <c r="U82" s="345">
        <v>0</v>
      </c>
      <c r="V82" s="345">
        <v>0</v>
      </c>
      <c r="W82" s="345">
        <v>0</v>
      </c>
      <c r="X82" s="345">
        <v>0</v>
      </c>
      <c r="Y82" s="345">
        <v>0</v>
      </c>
      <c r="Z82" s="348">
        <v>23.835999999999999</v>
      </c>
      <c r="AA82" s="345">
        <v>0</v>
      </c>
      <c r="AB82" s="348">
        <v>2.0790000000000002</v>
      </c>
      <c r="AC82" s="345">
        <v>0</v>
      </c>
      <c r="AD82" s="348">
        <v>0.2</v>
      </c>
      <c r="AE82" s="345">
        <v>0</v>
      </c>
      <c r="AF82" s="348">
        <v>1750.4757259999999</v>
      </c>
      <c r="AG82" s="345">
        <v>0</v>
      </c>
      <c r="AH82" s="345">
        <v>0</v>
      </c>
      <c r="AI82" s="348">
        <v>1300.96</v>
      </c>
      <c r="AJ82" s="345">
        <v>0</v>
      </c>
      <c r="AK82" s="348">
        <v>542.29477559999998</v>
      </c>
      <c r="AL82" s="345">
        <v>0</v>
      </c>
      <c r="AM82" s="345">
        <v>0</v>
      </c>
      <c r="AN82" s="345">
        <v>0</v>
      </c>
      <c r="AO82" s="345">
        <v>0</v>
      </c>
      <c r="AP82" s="345">
        <v>0</v>
      </c>
      <c r="AQ82" s="345">
        <v>0</v>
      </c>
      <c r="AR82" s="345">
        <v>0</v>
      </c>
      <c r="AS82" s="348">
        <v>4.9037842600000001</v>
      </c>
      <c r="AU82">
        <f>SUBTOTAL(9,F82:AG82)</f>
        <v>1776.5907259999999</v>
      </c>
    </row>
    <row r="83" spans="1:47" hidden="1" x14ac:dyDescent="0.25">
      <c r="A83" s="155">
        <v>1</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s="487">
        <v>0</v>
      </c>
    </row>
    <row r="84" spans="1:47" hidden="1" x14ac:dyDescent="0.25">
      <c r="A84" s="155" t="s">
        <v>51</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v>0</v>
      </c>
      <c r="AO84">
        <v>0</v>
      </c>
      <c r="AP84">
        <v>0</v>
      </c>
      <c r="AQ84">
        <v>0</v>
      </c>
      <c r="AR84">
        <v>0</v>
      </c>
      <c r="AS84" s="487">
        <v>0</v>
      </c>
    </row>
    <row r="85" spans="1:47" hidden="1" x14ac:dyDescent="0.25">
      <c r="A85" s="284" t="s">
        <v>36</v>
      </c>
      <c r="B85" s="345">
        <v>0</v>
      </c>
      <c r="C85" s="345">
        <v>0</v>
      </c>
      <c r="D85" s="348">
        <v>115.31831268000001</v>
      </c>
      <c r="E85" s="345">
        <v>0</v>
      </c>
      <c r="F85" s="345">
        <v>0</v>
      </c>
      <c r="G85" s="345">
        <v>0</v>
      </c>
      <c r="H85" s="345">
        <v>0</v>
      </c>
      <c r="I85" s="345">
        <v>0</v>
      </c>
      <c r="J85" s="345">
        <v>0</v>
      </c>
      <c r="K85" s="345">
        <v>0</v>
      </c>
      <c r="L85" s="345">
        <v>0</v>
      </c>
      <c r="M85" s="345">
        <v>0</v>
      </c>
      <c r="N85" s="345">
        <v>0</v>
      </c>
      <c r="O85" s="345">
        <v>0</v>
      </c>
      <c r="P85" s="345">
        <v>0</v>
      </c>
      <c r="Q85" s="345">
        <v>0</v>
      </c>
      <c r="R85" s="345">
        <v>0</v>
      </c>
      <c r="S85" s="345">
        <v>0</v>
      </c>
      <c r="T85" s="345">
        <v>0</v>
      </c>
      <c r="U85" s="345">
        <v>0</v>
      </c>
      <c r="V85" s="345">
        <v>0</v>
      </c>
      <c r="W85" s="345">
        <v>0</v>
      </c>
      <c r="X85" s="345">
        <v>0</v>
      </c>
      <c r="Y85" s="345">
        <v>0</v>
      </c>
      <c r="Z85" s="345">
        <v>0</v>
      </c>
      <c r="AA85" s="345">
        <v>0</v>
      </c>
      <c r="AB85" s="345">
        <v>0</v>
      </c>
      <c r="AC85" s="345">
        <v>0</v>
      </c>
      <c r="AD85" s="345">
        <v>0</v>
      </c>
      <c r="AE85" s="345">
        <v>0</v>
      </c>
      <c r="AF85" s="345">
        <v>0</v>
      </c>
      <c r="AG85" s="345">
        <v>0</v>
      </c>
      <c r="AH85" s="345">
        <v>0</v>
      </c>
      <c r="AI85" s="345">
        <v>0</v>
      </c>
      <c r="AJ85" s="345">
        <v>0</v>
      </c>
      <c r="AK85" s="345">
        <v>0</v>
      </c>
      <c r="AL85" s="345">
        <v>0</v>
      </c>
      <c r="AM85" s="345">
        <v>0</v>
      </c>
      <c r="AN85" s="345">
        <v>0</v>
      </c>
      <c r="AO85" s="345">
        <v>0</v>
      </c>
      <c r="AP85" s="345">
        <v>0</v>
      </c>
      <c r="AQ85" s="345">
        <v>0</v>
      </c>
      <c r="AR85" s="345">
        <v>0</v>
      </c>
      <c r="AS85" s="348">
        <v>115.31831268000001</v>
      </c>
    </row>
    <row r="86" spans="1:47" hidden="1" x14ac:dyDescent="0.25">
      <c r="A86" s="284" t="s">
        <v>37</v>
      </c>
      <c r="B86" s="348">
        <v>402.46400030000001</v>
      </c>
      <c r="C86" s="348">
        <v>402.46400030000001</v>
      </c>
      <c r="D86" s="348">
        <v>2266.58577031</v>
      </c>
      <c r="E86" s="348">
        <v>2351.4648584000001</v>
      </c>
      <c r="F86" s="345">
        <v>0</v>
      </c>
      <c r="G86" s="345">
        <v>0</v>
      </c>
      <c r="H86" s="345">
        <v>0</v>
      </c>
      <c r="I86" s="345">
        <v>0</v>
      </c>
      <c r="J86" s="345">
        <v>0</v>
      </c>
      <c r="K86" s="345">
        <v>0</v>
      </c>
      <c r="L86" s="345">
        <v>0</v>
      </c>
      <c r="M86" s="345">
        <v>0</v>
      </c>
      <c r="N86" s="345">
        <v>0</v>
      </c>
      <c r="O86" s="345">
        <v>0</v>
      </c>
      <c r="P86" s="345">
        <v>0</v>
      </c>
      <c r="Q86" s="345">
        <v>0</v>
      </c>
      <c r="R86" s="345">
        <v>0</v>
      </c>
      <c r="S86" s="345">
        <v>0</v>
      </c>
      <c r="T86" s="345">
        <v>0</v>
      </c>
      <c r="U86" s="345">
        <v>0</v>
      </c>
      <c r="V86" s="345">
        <v>0</v>
      </c>
      <c r="W86" s="345">
        <v>0</v>
      </c>
      <c r="X86" s="345">
        <v>0</v>
      </c>
      <c r="Y86" s="345">
        <v>0</v>
      </c>
      <c r="Z86" s="348">
        <v>359.17399999999998</v>
      </c>
      <c r="AA86" s="348">
        <v>36.299999999999997</v>
      </c>
      <c r="AB86" s="345">
        <v>0</v>
      </c>
      <c r="AC86" s="345">
        <v>0</v>
      </c>
      <c r="AD86" s="348">
        <v>0.8</v>
      </c>
      <c r="AE86" s="345">
        <v>0</v>
      </c>
      <c r="AF86" s="348">
        <v>1991.3244282999999</v>
      </c>
      <c r="AG86" s="348">
        <v>155.51400030000002</v>
      </c>
      <c r="AH86" s="345">
        <v>0</v>
      </c>
      <c r="AI86" s="348">
        <v>1312.55</v>
      </c>
      <c r="AJ86" s="348">
        <v>0.1664301</v>
      </c>
      <c r="AK86" s="348">
        <v>762.22177001</v>
      </c>
      <c r="AL86" s="345">
        <v>0</v>
      </c>
      <c r="AM86" s="345">
        <v>0</v>
      </c>
      <c r="AN86" s="348">
        <v>402.46400030000001</v>
      </c>
      <c r="AO86" s="348">
        <v>402.46400030000001</v>
      </c>
      <c r="AP86" s="345">
        <v>0</v>
      </c>
      <c r="AQ86" s="345">
        <v>0</v>
      </c>
      <c r="AR86" s="345">
        <v>0</v>
      </c>
      <c r="AS86" s="345">
        <v>0</v>
      </c>
    </row>
    <row r="87" spans="1:47" hidden="1" x14ac:dyDescent="0.25">
      <c r="A87" s="284" t="s">
        <v>38</v>
      </c>
      <c r="B87" s="345">
        <v>0</v>
      </c>
      <c r="C87" s="345">
        <v>0</v>
      </c>
      <c r="D87" s="348">
        <v>30.439224589999998</v>
      </c>
      <c r="E87" s="345">
        <v>0</v>
      </c>
      <c r="F87" s="345">
        <v>0</v>
      </c>
      <c r="G87" s="345">
        <v>0</v>
      </c>
      <c r="H87" s="345">
        <v>0</v>
      </c>
      <c r="I87" s="345">
        <v>0</v>
      </c>
      <c r="J87" s="345">
        <v>0</v>
      </c>
      <c r="K87" s="345">
        <v>0</v>
      </c>
      <c r="L87" s="345">
        <v>0</v>
      </c>
      <c r="M87" s="345">
        <v>0</v>
      </c>
      <c r="N87" s="345">
        <v>0</v>
      </c>
      <c r="O87" s="345">
        <v>0</v>
      </c>
      <c r="P87" s="345">
        <v>0</v>
      </c>
      <c r="Q87" s="345">
        <v>0</v>
      </c>
      <c r="R87" s="345">
        <v>0</v>
      </c>
      <c r="S87" s="345">
        <v>0</v>
      </c>
      <c r="T87" s="345">
        <v>0</v>
      </c>
      <c r="U87" s="345">
        <v>0</v>
      </c>
      <c r="V87" s="345">
        <v>0</v>
      </c>
      <c r="W87" s="345">
        <v>0</v>
      </c>
      <c r="X87" s="345">
        <v>0</v>
      </c>
      <c r="Y87" s="345">
        <v>0</v>
      </c>
      <c r="Z87" s="348">
        <v>322.87400000000002</v>
      </c>
      <c r="AA87" s="345">
        <v>0</v>
      </c>
      <c r="AB87" s="345">
        <v>0</v>
      </c>
      <c r="AC87" s="345">
        <v>0</v>
      </c>
      <c r="AD87" s="348">
        <v>0.8</v>
      </c>
      <c r="AE87" s="345">
        <v>0</v>
      </c>
      <c r="AF87" s="348">
        <v>1835.810428</v>
      </c>
      <c r="AG87" s="345">
        <v>0</v>
      </c>
      <c r="AH87" s="345">
        <v>0</v>
      </c>
      <c r="AI87" s="348">
        <v>1312.55</v>
      </c>
      <c r="AJ87" s="345">
        <v>0</v>
      </c>
      <c r="AK87" s="348">
        <v>762.05533990999993</v>
      </c>
      <c r="AL87" s="345">
        <v>0</v>
      </c>
      <c r="AM87" s="345">
        <v>0</v>
      </c>
      <c r="AN87" s="345">
        <v>0</v>
      </c>
      <c r="AO87" s="345">
        <v>0</v>
      </c>
      <c r="AP87" s="345">
        <v>0</v>
      </c>
      <c r="AQ87" s="345">
        <v>0</v>
      </c>
      <c r="AR87" s="345">
        <v>0</v>
      </c>
      <c r="AS87" s="348">
        <v>115.31831268000001</v>
      </c>
    </row>
    <row r="88" spans="1:47" x14ac:dyDescent="0.25">
      <c r="A88" s="284" t="s">
        <v>39</v>
      </c>
      <c r="B88" s="345">
        <v>0</v>
      </c>
      <c r="C88" s="345">
        <v>0</v>
      </c>
      <c r="D88" s="348">
        <v>30.439224589999998</v>
      </c>
      <c r="E88" s="345">
        <v>0</v>
      </c>
      <c r="F88" s="345">
        <v>0</v>
      </c>
      <c r="G88" s="345">
        <v>0</v>
      </c>
      <c r="H88" s="345">
        <v>0</v>
      </c>
      <c r="I88" s="345">
        <v>0</v>
      </c>
      <c r="J88" s="345">
        <v>0</v>
      </c>
      <c r="K88" s="345">
        <v>0</v>
      </c>
      <c r="L88" s="345">
        <v>0</v>
      </c>
      <c r="M88" s="345">
        <v>0</v>
      </c>
      <c r="N88" s="345">
        <v>0</v>
      </c>
      <c r="O88" s="345">
        <v>0</v>
      </c>
      <c r="P88" s="345">
        <v>0</v>
      </c>
      <c r="Q88" s="345">
        <v>0</v>
      </c>
      <c r="R88" s="345">
        <v>0</v>
      </c>
      <c r="S88" s="345">
        <v>0</v>
      </c>
      <c r="T88" s="345">
        <v>0</v>
      </c>
      <c r="U88" s="345">
        <v>0</v>
      </c>
      <c r="V88" s="345">
        <v>0</v>
      </c>
      <c r="W88" s="345">
        <v>0</v>
      </c>
      <c r="X88" s="345">
        <v>0</v>
      </c>
      <c r="Y88" s="345">
        <v>0</v>
      </c>
      <c r="Z88" s="348">
        <v>322.87400000000002</v>
      </c>
      <c r="AA88" s="345">
        <v>0</v>
      </c>
      <c r="AB88" s="345">
        <v>0</v>
      </c>
      <c r="AC88" s="345">
        <v>0</v>
      </c>
      <c r="AD88" s="348">
        <v>0.8</v>
      </c>
      <c r="AE88" s="345">
        <v>0</v>
      </c>
      <c r="AF88" s="348">
        <v>1835.810428</v>
      </c>
      <c r="AG88" s="345">
        <v>0</v>
      </c>
      <c r="AH88" s="345">
        <v>0</v>
      </c>
      <c r="AI88" s="348">
        <v>1312.55</v>
      </c>
      <c r="AJ88" s="345">
        <v>0</v>
      </c>
      <c r="AK88" s="348">
        <v>762.05533990999993</v>
      </c>
      <c r="AL88" s="345">
        <v>0</v>
      </c>
      <c r="AM88" s="345">
        <v>0</v>
      </c>
      <c r="AN88" s="345">
        <v>0</v>
      </c>
      <c r="AO88" s="345">
        <v>0</v>
      </c>
      <c r="AP88" s="345">
        <v>0</v>
      </c>
      <c r="AQ88" s="345">
        <v>0</v>
      </c>
      <c r="AR88" s="345">
        <v>0</v>
      </c>
      <c r="AS88" s="348">
        <v>115.31831268000001</v>
      </c>
      <c r="AU88">
        <f>SUBTOTAL(9,F88:AG88)</f>
        <v>2159.4844280000002</v>
      </c>
    </row>
    <row r="89" spans="1:47" hidden="1" x14ac:dyDescent="0.25">
      <c r="A89" s="155">
        <v>1</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s="487">
        <v>0</v>
      </c>
    </row>
    <row r="90" spans="1:47" hidden="1" x14ac:dyDescent="0.25">
      <c r="A90" s="155" t="s">
        <v>52</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v>0</v>
      </c>
      <c r="AP90">
        <v>0</v>
      </c>
      <c r="AQ90">
        <v>0</v>
      </c>
      <c r="AR90">
        <v>0</v>
      </c>
      <c r="AS90" s="487">
        <v>0</v>
      </c>
    </row>
    <row r="91" spans="1:47" hidden="1" x14ac:dyDescent="0.25">
      <c r="A91" s="284" t="s">
        <v>36</v>
      </c>
      <c r="B91" s="345">
        <v>0</v>
      </c>
      <c r="C91" s="345">
        <v>0</v>
      </c>
      <c r="D91" s="348">
        <v>51.495252069999999</v>
      </c>
      <c r="E91" s="345">
        <v>0</v>
      </c>
      <c r="F91" s="345">
        <v>0</v>
      </c>
      <c r="G91" s="345">
        <v>0</v>
      </c>
      <c r="H91" s="345">
        <v>0</v>
      </c>
      <c r="I91" s="345">
        <v>0</v>
      </c>
      <c r="J91" s="345">
        <v>0</v>
      </c>
      <c r="K91" s="345">
        <v>0</v>
      </c>
      <c r="L91" s="345">
        <v>0</v>
      </c>
      <c r="M91" s="345">
        <v>0</v>
      </c>
      <c r="N91" s="345">
        <v>0</v>
      </c>
      <c r="O91" s="345">
        <v>0</v>
      </c>
      <c r="P91" s="345">
        <v>0</v>
      </c>
      <c r="Q91" s="345">
        <v>0</v>
      </c>
      <c r="R91" s="345">
        <v>0</v>
      </c>
      <c r="S91" s="345">
        <v>0</v>
      </c>
      <c r="T91" s="345">
        <v>0</v>
      </c>
      <c r="U91" s="345">
        <v>0</v>
      </c>
      <c r="V91" s="345">
        <v>0</v>
      </c>
      <c r="W91" s="345">
        <v>0</v>
      </c>
      <c r="X91" s="345">
        <v>0</v>
      </c>
      <c r="Y91" s="345">
        <v>0</v>
      </c>
      <c r="Z91" s="345">
        <v>0</v>
      </c>
      <c r="AA91" s="345">
        <v>0</v>
      </c>
      <c r="AB91" s="345">
        <v>0</v>
      </c>
      <c r="AC91" s="345">
        <v>0</v>
      </c>
      <c r="AD91" s="345">
        <v>0</v>
      </c>
      <c r="AE91" s="345">
        <v>0</v>
      </c>
      <c r="AF91" s="345">
        <v>0</v>
      </c>
      <c r="AG91" s="345">
        <v>0</v>
      </c>
      <c r="AH91" s="345">
        <v>0</v>
      </c>
      <c r="AI91" s="345">
        <v>0</v>
      </c>
      <c r="AJ91" s="345">
        <v>0</v>
      </c>
      <c r="AK91" s="345">
        <v>0</v>
      </c>
      <c r="AL91" s="345">
        <v>0</v>
      </c>
      <c r="AM91" s="345">
        <v>0</v>
      </c>
      <c r="AN91" s="345">
        <v>0</v>
      </c>
      <c r="AO91" s="345">
        <v>0</v>
      </c>
      <c r="AP91" s="345">
        <v>0</v>
      </c>
      <c r="AQ91" s="345">
        <v>0</v>
      </c>
      <c r="AR91" s="345">
        <v>0</v>
      </c>
      <c r="AS91" s="348">
        <v>51.495252069999999</v>
      </c>
    </row>
    <row r="92" spans="1:47" hidden="1" x14ac:dyDescent="0.25">
      <c r="A92" s="284" t="s">
        <v>37</v>
      </c>
      <c r="B92" s="348">
        <v>620.32124799999997</v>
      </c>
      <c r="C92" s="348">
        <v>620.32124799999997</v>
      </c>
      <c r="D92" s="348">
        <v>1983.7341625500001</v>
      </c>
      <c r="E92" s="348">
        <v>1998.21244426</v>
      </c>
      <c r="F92" s="345">
        <v>0</v>
      </c>
      <c r="G92" s="345">
        <v>0</v>
      </c>
      <c r="H92" s="345">
        <v>0</v>
      </c>
      <c r="I92" s="345">
        <v>0</v>
      </c>
      <c r="J92" s="345">
        <v>0</v>
      </c>
      <c r="K92" s="345">
        <v>0</v>
      </c>
      <c r="L92" s="345">
        <v>0</v>
      </c>
      <c r="M92" s="345">
        <v>0</v>
      </c>
      <c r="N92" s="345">
        <v>0</v>
      </c>
      <c r="O92" s="345">
        <v>0</v>
      </c>
      <c r="P92" s="345">
        <v>0</v>
      </c>
      <c r="Q92" s="345">
        <v>0</v>
      </c>
      <c r="R92" s="345">
        <v>0</v>
      </c>
      <c r="S92" s="345">
        <v>0</v>
      </c>
      <c r="T92" s="345">
        <v>0</v>
      </c>
      <c r="U92" s="345">
        <v>0</v>
      </c>
      <c r="V92" s="345">
        <v>0</v>
      </c>
      <c r="W92" s="345">
        <v>0</v>
      </c>
      <c r="X92" s="345">
        <v>0</v>
      </c>
      <c r="Y92" s="345">
        <v>0</v>
      </c>
      <c r="Z92" s="348">
        <v>95.82</v>
      </c>
      <c r="AA92" s="345">
        <v>0</v>
      </c>
      <c r="AB92" s="345">
        <v>0</v>
      </c>
      <c r="AC92" s="345">
        <v>0</v>
      </c>
      <c r="AD92" s="348">
        <v>0.7</v>
      </c>
      <c r="AE92" s="345">
        <v>0</v>
      </c>
      <c r="AF92" s="348">
        <v>1901.6704829</v>
      </c>
      <c r="AG92" s="348">
        <v>80.221248000000003</v>
      </c>
      <c r="AH92" s="345">
        <v>0</v>
      </c>
      <c r="AI92" s="348">
        <v>1188.57</v>
      </c>
      <c r="AJ92" s="348">
        <v>2.1961359999999999E-2</v>
      </c>
      <c r="AK92" s="348">
        <v>714.94291454999995</v>
      </c>
      <c r="AL92" s="345">
        <v>0</v>
      </c>
      <c r="AM92" s="345">
        <v>0</v>
      </c>
      <c r="AN92" s="348">
        <v>620.32124799999997</v>
      </c>
      <c r="AO92" s="348">
        <v>620.32124799999997</v>
      </c>
      <c r="AP92" s="348">
        <v>95.82</v>
      </c>
      <c r="AQ92" s="348">
        <v>95.82</v>
      </c>
      <c r="AR92" s="345">
        <v>0</v>
      </c>
      <c r="AS92" s="345">
        <v>0</v>
      </c>
    </row>
    <row r="93" spans="1:47" hidden="1" x14ac:dyDescent="0.25">
      <c r="A93" s="284" t="s">
        <v>38</v>
      </c>
      <c r="B93" s="345">
        <v>0</v>
      </c>
      <c r="C93" s="345">
        <v>0</v>
      </c>
      <c r="D93" s="348">
        <v>37.016970360000002</v>
      </c>
      <c r="E93" s="345">
        <v>0</v>
      </c>
      <c r="F93" s="345">
        <v>0</v>
      </c>
      <c r="G93" s="345">
        <v>0</v>
      </c>
      <c r="H93" s="345">
        <v>0</v>
      </c>
      <c r="I93" s="345">
        <v>0</v>
      </c>
      <c r="J93" s="345">
        <v>0</v>
      </c>
      <c r="K93" s="345">
        <v>0</v>
      </c>
      <c r="L93" s="345">
        <v>0</v>
      </c>
      <c r="M93" s="345">
        <v>0</v>
      </c>
      <c r="N93" s="345">
        <v>0</v>
      </c>
      <c r="O93" s="345">
        <v>0</v>
      </c>
      <c r="P93" s="345">
        <v>0</v>
      </c>
      <c r="Q93" s="345">
        <v>0</v>
      </c>
      <c r="R93" s="345">
        <v>0</v>
      </c>
      <c r="S93" s="345">
        <v>0</v>
      </c>
      <c r="T93" s="345">
        <v>0</v>
      </c>
      <c r="U93" s="345">
        <v>0</v>
      </c>
      <c r="V93" s="345">
        <v>0</v>
      </c>
      <c r="W93" s="345">
        <v>0</v>
      </c>
      <c r="X93" s="345">
        <v>0</v>
      </c>
      <c r="Y93" s="345">
        <v>0</v>
      </c>
      <c r="Z93" s="348">
        <v>95.82</v>
      </c>
      <c r="AA93" s="345">
        <v>0</v>
      </c>
      <c r="AB93" s="345">
        <v>0</v>
      </c>
      <c r="AC93" s="345">
        <v>0</v>
      </c>
      <c r="AD93" s="348">
        <v>0.7</v>
      </c>
      <c r="AE93" s="345">
        <v>0</v>
      </c>
      <c r="AF93" s="348">
        <v>1821.4492349000002</v>
      </c>
      <c r="AG93" s="345">
        <v>0</v>
      </c>
      <c r="AH93" s="345">
        <v>0</v>
      </c>
      <c r="AI93" s="348">
        <v>1188.57</v>
      </c>
      <c r="AJ93" s="345">
        <v>0</v>
      </c>
      <c r="AK93" s="348">
        <v>714.92095319000009</v>
      </c>
      <c r="AL93" s="345">
        <v>0</v>
      </c>
      <c r="AM93" s="345">
        <v>0</v>
      </c>
      <c r="AN93" s="345">
        <v>0</v>
      </c>
      <c r="AO93" s="345">
        <v>0</v>
      </c>
      <c r="AP93" s="345">
        <v>0</v>
      </c>
      <c r="AQ93" s="345">
        <v>0</v>
      </c>
      <c r="AR93" s="345">
        <v>0</v>
      </c>
      <c r="AS93" s="348">
        <v>51.495252069999999</v>
      </c>
    </row>
    <row r="94" spans="1:47" x14ac:dyDescent="0.25">
      <c r="A94" s="284" t="s">
        <v>39</v>
      </c>
      <c r="B94" s="345">
        <v>0</v>
      </c>
      <c r="C94" s="345">
        <v>0</v>
      </c>
      <c r="D94" s="348">
        <v>37.016970360000002</v>
      </c>
      <c r="E94" s="345">
        <v>0</v>
      </c>
      <c r="F94" s="345">
        <v>0</v>
      </c>
      <c r="G94" s="345">
        <v>0</v>
      </c>
      <c r="H94" s="345">
        <v>0</v>
      </c>
      <c r="I94" s="345">
        <v>0</v>
      </c>
      <c r="J94" s="345">
        <v>0</v>
      </c>
      <c r="K94" s="345">
        <v>0</v>
      </c>
      <c r="L94" s="345">
        <v>0</v>
      </c>
      <c r="M94" s="345">
        <v>0</v>
      </c>
      <c r="N94" s="345">
        <v>0</v>
      </c>
      <c r="O94" s="345">
        <v>0</v>
      </c>
      <c r="P94" s="345">
        <v>0</v>
      </c>
      <c r="Q94" s="345">
        <v>0</v>
      </c>
      <c r="R94" s="345">
        <v>0</v>
      </c>
      <c r="S94" s="345">
        <v>0</v>
      </c>
      <c r="T94" s="345">
        <v>0</v>
      </c>
      <c r="U94" s="345">
        <v>0</v>
      </c>
      <c r="V94" s="345">
        <v>0</v>
      </c>
      <c r="W94" s="345">
        <v>0</v>
      </c>
      <c r="X94" s="345">
        <v>0</v>
      </c>
      <c r="Y94" s="345">
        <v>0</v>
      </c>
      <c r="Z94" s="348">
        <v>95.82</v>
      </c>
      <c r="AA94" s="345">
        <v>0</v>
      </c>
      <c r="AB94" s="345">
        <v>0</v>
      </c>
      <c r="AC94" s="345">
        <v>0</v>
      </c>
      <c r="AD94" s="348">
        <v>0.7</v>
      </c>
      <c r="AE94" s="345">
        <v>0</v>
      </c>
      <c r="AF94" s="348">
        <v>1821.4492349000002</v>
      </c>
      <c r="AG94" s="345">
        <v>0</v>
      </c>
      <c r="AH94" s="345">
        <v>0</v>
      </c>
      <c r="AI94" s="348">
        <v>1188.57</v>
      </c>
      <c r="AJ94" s="345">
        <v>0</v>
      </c>
      <c r="AK94" s="348">
        <v>714.92095319000009</v>
      </c>
      <c r="AL94" s="345">
        <v>0</v>
      </c>
      <c r="AM94" s="345">
        <v>0</v>
      </c>
      <c r="AN94" s="345">
        <v>0</v>
      </c>
      <c r="AO94" s="345">
        <v>0</v>
      </c>
      <c r="AP94" s="345">
        <v>0</v>
      </c>
      <c r="AQ94" s="345">
        <v>0</v>
      </c>
      <c r="AR94" s="345">
        <v>0</v>
      </c>
      <c r="AS94" s="348">
        <v>51.495252069999999</v>
      </c>
      <c r="AU94">
        <f>SUBTOTAL(9,F94:AG94)</f>
        <v>1917.9692349000002</v>
      </c>
    </row>
    <row r="95" spans="1:47" hidden="1" x14ac:dyDescent="0.25">
      <c r="A95" s="155">
        <v>1</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s="487">
        <v>0</v>
      </c>
    </row>
    <row r="96" spans="1:47" ht="26.25" hidden="1" x14ac:dyDescent="0.25">
      <c r="A96" s="155" t="s">
        <v>53</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s="487">
        <v>0</v>
      </c>
    </row>
    <row r="97" spans="1:47" hidden="1" x14ac:dyDescent="0.25">
      <c r="A97" s="284" t="s">
        <v>36</v>
      </c>
      <c r="B97" s="345">
        <v>0</v>
      </c>
      <c r="C97" s="345">
        <v>0</v>
      </c>
      <c r="D97" s="348">
        <v>84.25499216</v>
      </c>
      <c r="E97" s="345">
        <v>0</v>
      </c>
      <c r="F97" s="345">
        <v>0</v>
      </c>
      <c r="G97" s="345">
        <v>0</v>
      </c>
      <c r="H97" s="345">
        <v>0</v>
      </c>
      <c r="I97" s="345">
        <v>0</v>
      </c>
      <c r="J97" s="345">
        <v>0</v>
      </c>
      <c r="K97" s="345">
        <v>0</v>
      </c>
      <c r="L97" s="345">
        <v>0</v>
      </c>
      <c r="M97" s="345">
        <v>0</v>
      </c>
      <c r="N97" s="345">
        <v>0</v>
      </c>
      <c r="O97" s="345">
        <v>0</v>
      </c>
      <c r="P97" s="345">
        <v>0</v>
      </c>
      <c r="Q97" s="345">
        <v>0</v>
      </c>
      <c r="R97" s="345">
        <v>0</v>
      </c>
      <c r="S97" s="345">
        <v>0</v>
      </c>
      <c r="T97" s="345">
        <v>0</v>
      </c>
      <c r="U97" s="345">
        <v>0</v>
      </c>
      <c r="V97" s="345">
        <v>0</v>
      </c>
      <c r="W97" s="345">
        <v>0</v>
      </c>
      <c r="X97" s="345">
        <v>0</v>
      </c>
      <c r="Y97" s="345">
        <v>0</v>
      </c>
      <c r="Z97" s="345">
        <v>0</v>
      </c>
      <c r="AA97" s="345">
        <v>0</v>
      </c>
      <c r="AB97" s="345">
        <v>0</v>
      </c>
      <c r="AC97" s="345">
        <v>0</v>
      </c>
      <c r="AD97" s="345">
        <v>0</v>
      </c>
      <c r="AE97" s="345">
        <v>0</v>
      </c>
      <c r="AF97" s="345">
        <v>0</v>
      </c>
      <c r="AG97" s="345">
        <v>0</v>
      </c>
      <c r="AH97" s="345">
        <v>0</v>
      </c>
      <c r="AI97" s="345">
        <v>0</v>
      </c>
      <c r="AJ97" s="345">
        <v>0</v>
      </c>
      <c r="AK97" s="345">
        <v>0</v>
      </c>
      <c r="AL97" s="345">
        <v>0</v>
      </c>
      <c r="AM97" s="345">
        <v>0</v>
      </c>
      <c r="AN97" s="345">
        <v>0</v>
      </c>
      <c r="AO97" s="345">
        <v>0</v>
      </c>
      <c r="AP97" s="345">
        <v>0</v>
      </c>
      <c r="AQ97" s="345">
        <v>0</v>
      </c>
      <c r="AR97" s="345">
        <v>0</v>
      </c>
      <c r="AS97" s="348">
        <v>84.25499216</v>
      </c>
    </row>
    <row r="98" spans="1:47" hidden="1" x14ac:dyDescent="0.25">
      <c r="A98" s="284" t="s">
        <v>37</v>
      </c>
      <c r="B98" s="348">
        <v>80.879066040000012</v>
      </c>
      <c r="C98" s="348">
        <v>80.879066040000012</v>
      </c>
      <c r="D98" s="348">
        <v>1727.57785182</v>
      </c>
      <c r="E98" s="348">
        <v>1793.2996751400001</v>
      </c>
      <c r="F98" s="345">
        <v>0</v>
      </c>
      <c r="G98" s="345">
        <v>0</v>
      </c>
      <c r="H98" s="345">
        <v>0</v>
      </c>
      <c r="I98" s="345">
        <v>0</v>
      </c>
      <c r="J98" s="345">
        <v>0</v>
      </c>
      <c r="K98" s="345">
        <v>0</v>
      </c>
      <c r="L98" s="345">
        <v>0</v>
      </c>
      <c r="M98" s="345">
        <v>0</v>
      </c>
      <c r="N98" s="345">
        <v>0</v>
      </c>
      <c r="O98" s="345">
        <v>0</v>
      </c>
      <c r="P98" s="345">
        <v>0</v>
      </c>
      <c r="Q98" s="345">
        <v>0</v>
      </c>
      <c r="R98" s="345">
        <v>0</v>
      </c>
      <c r="S98" s="345">
        <v>0</v>
      </c>
      <c r="T98" s="345">
        <v>0</v>
      </c>
      <c r="U98" s="345">
        <v>0</v>
      </c>
      <c r="V98" s="345">
        <v>0</v>
      </c>
      <c r="W98" s="345">
        <v>0</v>
      </c>
      <c r="X98" s="345">
        <v>0</v>
      </c>
      <c r="Y98" s="345">
        <v>0</v>
      </c>
      <c r="Z98" s="348">
        <v>221.04</v>
      </c>
      <c r="AA98" s="348">
        <v>0.19239999999999999</v>
      </c>
      <c r="AB98" s="345">
        <v>0</v>
      </c>
      <c r="AC98" s="345">
        <v>0</v>
      </c>
      <c r="AD98" s="348">
        <v>0.2</v>
      </c>
      <c r="AE98" s="345">
        <v>0</v>
      </c>
      <c r="AF98" s="348">
        <v>1571.92114814</v>
      </c>
      <c r="AG98" s="348">
        <v>72.623666040000003</v>
      </c>
      <c r="AH98" s="345">
        <v>0</v>
      </c>
      <c r="AI98" s="348">
        <v>1197.33</v>
      </c>
      <c r="AJ98" s="348">
        <v>0.13852700000000001</v>
      </c>
      <c r="AK98" s="348">
        <v>449.36878578</v>
      </c>
      <c r="AL98" s="345">
        <v>0</v>
      </c>
      <c r="AM98" s="348">
        <v>8.0630000000000006</v>
      </c>
      <c r="AN98" s="348">
        <v>80.879066040000012</v>
      </c>
      <c r="AO98" s="348">
        <v>80.879066040000012</v>
      </c>
      <c r="AP98" s="345">
        <v>0</v>
      </c>
      <c r="AQ98" s="345">
        <v>0</v>
      </c>
      <c r="AR98" s="345">
        <v>0</v>
      </c>
      <c r="AS98" s="345">
        <v>0</v>
      </c>
    </row>
    <row r="99" spans="1:47" hidden="1" x14ac:dyDescent="0.25">
      <c r="A99" s="284" t="s">
        <v>38</v>
      </c>
      <c r="B99" s="345">
        <v>0</v>
      </c>
      <c r="C99" s="345">
        <v>0</v>
      </c>
      <c r="D99" s="348">
        <v>18.533168839999998</v>
      </c>
      <c r="E99" s="345">
        <v>0</v>
      </c>
      <c r="F99" s="345">
        <v>0</v>
      </c>
      <c r="G99" s="345">
        <v>0</v>
      </c>
      <c r="H99" s="345">
        <v>0</v>
      </c>
      <c r="I99" s="345">
        <v>0</v>
      </c>
      <c r="J99" s="345">
        <v>0</v>
      </c>
      <c r="K99" s="345">
        <v>0</v>
      </c>
      <c r="L99" s="345">
        <v>0</v>
      </c>
      <c r="M99" s="345">
        <v>0</v>
      </c>
      <c r="N99" s="345">
        <v>0</v>
      </c>
      <c r="O99" s="345">
        <v>0</v>
      </c>
      <c r="P99" s="345">
        <v>0</v>
      </c>
      <c r="Q99" s="345">
        <v>0</v>
      </c>
      <c r="R99" s="345">
        <v>0</v>
      </c>
      <c r="S99" s="345">
        <v>0</v>
      </c>
      <c r="T99" s="345">
        <v>0</v>
      </c>
      <c r="U99" s="345">
        <v>0</v>
      </c>
      <c r="V99" s="345">
        <v>0</v>
      </c>
      <c r="W99" s="345">
        <v>0</v>
      </c>
      <c r="X99" s="345">
        <v>0</v>
      </c>
      <c r="Y99" s="345">
        <v>0</v>
      </c>
      <c r="Z99" s="348">
        <v>220.8476</v>
      </c>
      <c r="AA99" s="345">
        <v>0</v>
      </c>
      <c r="AB99" s="345">
        <v>0</v>
      </c>
      <c r="AC99" s="345">
        <v>0</v>
      </c>
      <c r="AD99" s="348">
        <v>0.2</v>
      </c>
      <c r="AE99" s="345">
        <v>0</v>
      </c>
      <c r="AF99" s="348">
        <v>1499.2974820999998</v>
      </c>
      <c r="AG99" s="345">
        <v>0</v>
      </c>
      <c r="AH99" s="345">
        <v>0</v>
      </c>
      <c r="AI99" s="348">
        <v>1197.33</v>
      </c>
      <c r="AJ99" s="345">
        <v>0</v>
      </c>
      <c r="AK99" s="348">
        <v>449.23025877999999</v>
      </c>
      <c r="AL99" s="345">
        <v>0</v>
      </c>
      <c r="AM99" s="348">
        <v>8.0630000000000006</v>
      </c>
      <c r="AN99" s="345">
        <v>0</v>
      </c>
      <c r="AO99" s="345">
        <v>0</v>
      </c>
      <c r="AP99" s="345">
        <v>0</v>
      </c>
      <c r="AQ99" s="345">
        <v>0</v>
      </c>
      <c r="AR99" s="345">
        <v>0</v>
      </c>
      <c r="AS99" s="348">
        <v>84.25499216</v>
      </c>
    </row>
    <row r="100" spans="1:47" x14ac:dyDescent="0.25">
      <c r="A100" s="284" t="s">
        <v>39</v>
      </c>
      <c r="B100" s="345">
        <v>0</v>
      </c>
      <c r="C100" s="345">
        <v>0</v>
      </c>
      <c r="D100" s="348">
        <v>18.533168839999998</v>
      </c>
      <c r="E100" s="345">
        <v>0</v>
      </c>
      <c r="F100" s="345">
        <v>0</v>
      </c>
      <c r="G100" s="345">
        <v>0</v>
      </c>
      <c r="H100" s="345">
        <v>0</v>
      </c>
      <c r="I100" s="345">
        <v>0</v>
      </c>
      <c r="J100" s="345">
        <v>0</v>
      </c>
      <c r="K100" s="345">
        <v>0</v>
      </c>
      <c r="L100" s="345">
        <v>0</v>
      </c>
      <c r="M100" s="345">
        <v>0</v>
      </c>
      <c r="N100" s="345">
        <v>0</v>
      </c>
      <c r="O100" s="345">
        <v>0</v>
      </c>
      <c r="P100" s="345">
        <v>0</v>
      </c>
      <c r="Q100" s="345">
        <v>0</v>
      </c>
      <c r="R100" s="345">
        <v>0</v>
      </c>
      <c r="S100" s="345">
        <v>0</v>
      </c>
      <c r="T100" s="345">
        <v>0</v>
      </c>
      <c r="U100" s="345">
        <v>0</v>
      </c>
      <c r="V100" s="345">
        <v>0</v>
      </c>
      <c r="W100" s="345">
        <v>0</v>
      </c>
      <c r="X100" s="345">
        <v>0</v>
      </c>
      <c r="Y100" s="345">
        <v>0</v>
      </c>
      <c r="Z100" s="348">
        <v>220.8476</v>
      </c>
      <c r="AA100" s="345">
        <v>0</v>
      </c>
      <c r="AB100" s="345">
        <v>0</v>
      </c>
      <c r="AC100" s="345">
        <v>0</v>
      </c>
      <c r="AD100" s="348">
        <v>0.2</v>
      </c>
      <c r="AE100" s="345">
        <v>0</v>
      </c>
      <c r="AF100" s="348">
        <v>1499.2974820999998</v>
      </c>
      <c r="AG100" s="345">
        <v>0</v>
      </c>
      <c r="AH100" s="345">
        <v>0</v>
      </c>
      <c r="AI100" s="348">
        <v>1197.33</v>
      </c>
      <c r="AJ100" s="345">
        <v>0</v>
      </c>
      <c r="AK100" s="348">
        <v>449.23025877999999</v>
      </c>
      <c r="AL100" s="345">
        <v>0</v>
      </c>
      <c r="AM100" s="348">
        <v>8.0630000000000006</v>
      </c>
      <c r="AN100" s="345">
        <v>0</v>
      </c>
      <c r="AO100" s="345">
        <v>0</v>
      </c>
      <c r="AP100" s="345">
        <v>0</v>
      </c>
      <c r="AQ100" s="345">
        <v>0</v>
      </c>
      <c r="AR100" s="345">
        <v>0</v>
      </c>
      <c r="AS100" s="348">
        <v>84.25499216</v>
      </c>
      <c r="AU100">
        <f>SUBTOTAL(9,F100:AG100)</f>
        <v>1720.3450820999997</v>
      </c>
    </row>
    <row r="101" spans="1:47" hidden="1" x14ac:dyDescent="0.25">
      <c r="A101" s="155">
        <v>1</v>
      </c>
      <c r="B101" s="483"/>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3"/>
      <c r="AE101" s="483"/>
      <c r="AF101" s="483"/>
      <c r="AG101" s="483"/>
      <c r="AH101" s="483"/>
      <c r="AI101" s="483"/>
      <c r="AJ101" s="483"/>
      <c r="AK101" s="483"/>
      <c r="AL101" s="483"/>
      <c r="AM101" s="483"/>
      <c r="AN101" s="483"/>
      <c r="AO101" s="483"/>
      <c r="AP101" s="483"/>
      <c r="AQ101" s="483"/>
      <c r="AR101" s="483"/>
      <c r="AS101" s="486"/>
    </row>
  </sheetData>
  <autoFilter ref="A10:AU101">
    <filterColumn colId="0">
      <filters>
        <filter val="Итого с начала года"/>
      </filters>
    </filterColumn>
  </autoFilter>
  <mergeCells count="32">
    <mergeCell ref="AR9:AS9"/>
    <mergeCell ref="B8:AS8"/>
    <mergeCell ref="A2:AS2"/>
    <mergeCell ref="A3:AS3"/>
    <mergeCell ref="A4:AS4"/>
    <mergeCell ref="A5:AS5"/>
    <mergeCell ref="A6:AS6"/>
    <mergeCell ref="D7:AP7"/>
    <mergeCell ref="AQ7:AR7"/>
    <mergeCell ref="A8:A10"/>
    <mergeCell ref="A7:C7"/>
    <mergeCell ref="D9:E9"/>
    <mergeCell ref="AB9:AC9"/>
    <mergeCell ref="B9:C9"/>
    <mergeCell ref="T9:U9"/>
    <mergeCell ref="F9:G9"/>
    <mergeCell ref="H9:I9"/>
    <mergeCell ref="P9:Q9"/>
    <mergeCell ref="R9:S9"/>
    <mergeCell ref="V9:W9"/>
    <mergeCell ref="J9:K9"/>
    <mergeCell ref="X9:Y9"/>
    <mergeCell ref="L9:M9"/>
    <mergeCell ref="N9:O9"/>
    <mergeCell ref="AN9:AO9"/>
    <mergeCell ref="AL9:AM9"/>
    <mergeCell ref="AJ9:AK9"/>
    <mergeCell ref="AP9:AQ9"/>
    <mergeCell ref="AH9:AI9"/>
    <mergeCell ref="AF9:AG9"/>
    <mergeCell ref="AD9:AE9"/>
    <mergeCell ref="Z9:AA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S101"/>
  <sheetViews>
    <sheetView zoomScaleNormal="100" workbookViewId="0">
      <pane xSplit="1" ySplit="10" topLeftCell="B16" activePane="bottomRight" state="frozen"/>
      <selection activeCell="B10" sqref="A10:XFD10"/>
      <selection pane="topRight" activeCell="B10" sqref="A10:XFD10"/>
      <selection pane="bottomLeft" activeCell="B10" sqref="A10:XFD10"/>
      <selection pane="bottomRight" activeCell="D22" sqref="D22:D100"/>
    </sheetView>
  </sheetViews>
  <sheetFormatPr defaultRowHeight="15" x14ac:dyDescent="0.25"/>
  <cols>
    <col min="1" max="1" width="36.5703125" bestFit="1" customWidth="1"/>
    <col min="2" max="2" width="18.42578125" bestFit="1" customWidth="1"/>
    <col min="3" max="3" width="19.7109375" bestFit="1" customWidth="1"/>
    <col min="4" max="4" width="18.42578125" bestFit="1" customWidth="1"/>
    <col min="5" max="5" width="19.7109375" bestFit="1" customWidth="1"/>
    <col min="6" max="6" width="18.42578125" bestFit="1" customWidth="1"/>
    <col min="7" max="7" width="19.7109375" bestFit="1" customWidth="1"/>
    <col min="8" max="8" width="18.42578125" bestFit="1" customWidth="1"/>
    <col min="9" max="9" width="19.7109375" bestFit="1" customWidth="1"/>
    <col min="10" max="10" width="18.42578125" bestFit="1" customWidth="1"/>
    <col min="11" max="11" width="19.7109375" bestFit="1" customWidth="1"/>
    <col min="12" max="12" width="18.42578125" bestFit="1" customWidth="1"/>
    <col min="13" max="13" width="19.7109375" bestFit="1" customWidth="1"/>
    <col min="14" max="14" width="18.42578125" bestFit="1" customWidth="1"/>
    <col min="15" max="15" width="19.7109375" bestFit="1" customWidth="1"/>
    <col min="16" max="16" width="18.42578125" bestFit="1" customWidth="1"/>
    <col min="17" max="17" width="19.7109375" bestFit="1" customWidth="1"/>
    <col min="18" max="18" width="18.42578125" bestFit="1" customWidth="1"/>
    <col min="19" max="19" width="19.7109375" bestFit="1" customWidth="1"/>
    <col min="20" max="20" width="18.42578125" bestFit="1" customWidth="1"/>
    <col min="21" max="21" width="19.7109375" bestFit="1" customWidth="1"/>
    <col min="22" max="22" width="18.42578125" bestFit="1" customWidth="1"/>
    <col min="23" max="23" width="19.7109375" bestFit="1" customWidth="1"/>
    <col min="24" max="24" width="18.42578125" bestFit="1" customWidth="1"/>
    <col min="25" max="25" width="19.7109375" bestFit="1" customWidth="1"/>
    <col min="26" max="26" width="18.42578125" bestFit="1" customWidth="1"/>
    <col min="27" max="27" width="19.7109375" bestFit="1" customWidth="1"/>
    <col min="28" max="28" width="18.42578125" bestFit="1" customWidth="1"/>
    <col min="29" max="29" width="19.7109375" bestFit="1" customWidth="1"/>
    <col min="30" max="30" width="18.42578125" bestFit="1" customWidth="1"/>
    <col min="31" max="31" width="19.7109375" bestFit="1" customWidth="1"/>
    <col min="32" max="32" width="18.42578125" bestFit="1" customWidth="1"/>
    <col min="33" max="33" width="19.7109375" bestFit="1" customWidth="1"/>
    <col min="34" max="34" width="18.42578125" bestFit="1" customWidth="1"/>
    <col min="35" max="35" width="19.7109375" bestFit="1" customWidth="1"/>
    <col min="36" max="36" width="18.42578125" bestFit="1" customWidth="1"/>
    <col min="37" max="37" width="19.7109375" bestFit="1" customWidth="1"/>
  </cols>
  <sheetData>
    <row r="1" spans="1:45" x14ac:dyDescent="0.25">
      <c r="A1" s="605" t="s">
        <v>20</v>
      </c>
      <c r="C1">
        <v>1000000</v>
      </c>
    </row>
    <row r="2" spans="1:45" x14ac:dyDescent="0.25">
      <c r="A2" s="644" t="s">
        <v>21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row>
    <row r="3" spans="1:45" x14ac:dyDescent="0.25">
      <c r="A3" s="644" t="s">
        <v>22</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row>
    <row r="4" spans="1:45" x14ac:dyDescent="0.25">
      <c r="A4" s="644" t="s">
        <v>54</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row>
    <row r="5" spans="1:45" x14ac:dyDescent="0.25">
      <c r="A5" s="644" t="s">
        <v>584</v>
      </c>
      <c r="B5" s="644"/>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row>
    <row r="6" spans="1:45" x14ac:dyDescent="0.25">
      <c r="A6" s="644" t="s">
        <v>631</v>
      </c>
      <c r="B6" s="644"/>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row>
    <row r="7" spans="1:45" x14ac:dyDescent="0.25">
      <c r="A7" s="645" t="s">
        <v>633</v>
      </c>
      <c r="B7" s="645"/>
      <c r="C7" s="645"/>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6" t="s">
        <v>24</v>
      </c>
      <c r="AJ7" s="646"/>
    </row>
    <row r="8" spans="1:45" x14ac:dyDescent="0.25">
      <c r="A8" s="753" t="s">
        <v>25</v>
      </c>
      <c r="B8" s="641" t="s">
        <v>26</v>
      </c>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3"/>
    </row>
    <row r="9" spans="1:45" x14ac:dyDescent="0.25">
      <c r="A9" s="754"/>
      <c r="B9" s="751" t="s">
        <v>27</v>
      </c>
      <c r="C9" s="752"/>
      <c r="D9" s="751" t="s">
        <v>55</v>
      </c>
      <c r="E9" s="752"/>
      <c r="F9" s="751" t="s">
        <v>189</v>
      </c>
      <c r="G9" s="752"/>
      <c r="H9" s="751" t="s">
        <v>188</v>
      </c>
      <c r="I9" s="752"/>
      <c r="J9" s="751" t="s">
        <v>583</v>
      </c>
      <c r="K9" s="752"/>
      <c r="L9" s="751" t="s">
        <v>187</v>
      </c>
      <c r="M9" s="752"/>
      <c r="N9" s="751" t="s">
        <v>185</v>
      </c>
      <c r="O9" s="752"/>
      <c r="P9" s="751" t="s">
        <v>125</v>
      </c>
      <c r="Q9" s="752"/>
      <c r="R9" s="751" t="s">
        <v>184</v>
      </c>
      <c r="S9" s="752"/>
      <c r="T9" s="751" t="s">
        <v>29</v>
      </c>
      <c r="U9" s="752"/>
      <c r="V9" s="751" t="s">
        <v>70</v>
      </c>
      <c r="W9" s="752"/>
      <c r="X9" s="751" t="s">
        <v>60</v>
      </c>
      <c r="Y9" s="752"/>
      <c r="Z9" s="751" t="s">
        <v>182</v>
      </c>
      <c r="AA9" s="752"/>
      <c r="AB9" s="751" t="s">
        <v>30</v>
      </c>
      <c r="AC9" s="752"/>
      <c r="AD9" s="751" t="s">
        <v>61</v>
      </c>
      <c r="AE9" s="752"/>
      <c r="AF9" s="751" t="s">
        <v>31</v>
      </c>
      <c r="AG9" s="752"/>
      <c r="AH9" s="751" t="s">
        <v>183</v>
      </c>
      <c r="AI9" s="752"/>
      <c r="AJ9" s="751" t="s">
        <v>621</v>
      </c>
      <c r="AK9" s="752"/>
    </row>
    <row r="10" spans="1:45" ht="13.5" customHeight="1" x14ac:dyDescent="0.25">
      <c r="A10" s="755"/>
      <c r="B10" s="156" t="s">
        <v>32</v>
      </c>
      <c r="C10" s="156" t="s">
        <v>33</v>
      </c>
      <c r="D10" s="156" t="s">
        <v>32</v>
      </c>
      <c r="E10" s="156" t="s">
        <v>33</v>
      </c>
      <c r="F10" s="156" t="s">
        <v>32</v>
      </c>
      <c r="G10" s="156" t="s">
        <v>33</v>
      </c>
      <c r="H10" s="156" t="s">
        <v>32</v>
      </c>
      <c r="I10" s="156" t="s">
        <v>33</v>
      </c>
      <c r="J10" s="156" t="s">
        <v>32</v>
      </c>
      <c r="K10" s="156" t="s">
        <v>33</v>
      </c>
      <c r="L10" s="156" t="s">
        <v>32</v>
      </c>
      <c r="M10" s="156" t="s">
        <v>33</v>
      </c>
      <c r="N10" s="156" t="s">
        <v>32</v>
      </c>
      <c r="O10" s="156" t="s">
        <v>33</v>
      </c>
      <c r="P10" s="156" t="s">
        <v>32</v>
      </c>
      <c r="Q10" s="156" t="s">
        <v>33</v>
      </c>
      <c r="R10" s="156" t="s">
        <v>32</v>
      </c>
      <c r="S10" s="156" t="s">
        <v>33</v>
      </c>
      <c r="T10" s="156" t="s">
        <v>32</v>
      </c>
      <c r="U10" s="156" t="s">
        <v>33</v>
      </c>
      <c r="V10" s="156" t="s">
        <v>32</v>
      </c>
      <c r="W10" s="156" t="s">
        <v>33</v>
      </c>
      <c r="X10" s="156" t="s">
        <v>32</v>
      </c>
      <c r="Y10" s="156" t="s">
        <v>33</v>
      </c>
      <c r="Z10" s="156" t="s">
        <v>32</v>
      </c>
      <c r="AA10" s="156" t="s">
        <v>33</v>
      </c>
      <c r="AB10" s="156" t="s">
        <v>32</v>
      </c>
      <c r="AC10" s="156" t="s">
        <v>33</v>
      </c>
      <c r="AD10" s="156" t="s">
        <v>32</v>
      </c>
      <c r="AE10" s="156" t="s">
        <v>33</v>
      </c>
      <c r="AF10" s="156" t="s">
        <v>32</v>
      </c>
      <c r="AG10" s="156" t="s">
        <v>33</v>
      </c>
      <c r="AH10" s="156" t="s">
        <v>32</v>
      </c>
      <c r="AI10" s="156" t="s">
        <v>33</v>
      </c>
      <c r="AJ10" s="156" t="s">
        <v>32</v>
      </c>
      <c r="AK10" s="156" t="s">
        <v>33</v>
      </c>
    </row>
    <row r="11" spans="1:45" hidden="1" x14ac:dyDescent="0.25">
      <c r="A11" s="155" t="s">
        <v>34</v>
      </c>
      <c r="AK11" s="487"/>
    </row>
    <row r="12" spans="1:45" hidden="1" x14ac:dyDescent="0.25">
      <c r="A12" s="155" t="s">
        <v>35</v>
      </c>
      <c r="AK12" s="487"/>
    </row>
    <row r="13" spans="1:45" hidden="1" x14ac:dyDescent="0.25">
      <c r="A13" s="284" t="s">
        <v>36</v>
      </c>
      <c r="B13" s="345">
        <v>0</v>
      </c>
      <c r="C13" s="345">
        <v>0</v>
      </c>
      <c r="D13" s="348">
        <v>1974.87838502</v>
      </c>
      <c r="E13" s="345">
        <v>0</v>
      </c>
      <c r="F13" s="345">
        <v>0</v>
      </c>
      <c r="G13" s="345">
        <v>0</v>
      </c>
      <c r="H13" s="345">
        <v>0</v>
      </c>
      <c r="I13" s="345">
        <v>0</v>
      </c>
      <c r="J13" s="345">
        <v>0</v>
      </c>
      <c r="K13" s="345">
        <v>0</v>
      </c>
      <c r="L13" s="345">
        <v>0</v>
      </c>
      <c r="M13" s="345">
        <v>0</v>
      </c>
      <c r="N13" s="345">
        <v>0</v>
      </c>
      <c r="O13" s="345">
        <v>0</v>
      </c>
      <c r="P13" s="345">
        <v>0</v>
      </c>
      <c r="Q13" s="345">
        <v>0</v>
      </c>
      <c r="R13" s="345">
        <v>0</v>
      </c>
      <c r="S13" s="345">
        <v>0</v>
      </c>
      <c r="T13" s="345">
        <v>0</v>
      </c>
      <c r="U13" s="345">
        <v>0</v>
      </c>
      <c r="V13" s="345">
        <v>0</v>
      </c>
      <c r="W13" s="345">
        <v>0</v>
      </c>
      <c r="X13" s="345">
        <v>0</v>
      </c>
      <c r="Y13" s="345">
        <v>0</v>
      </c>
      <c r="Z13" s="345">
        <v>0</v>
      </c>
      <c r="AA13" s="345">
        <v>0</v>
      </c>
      <c r="AB13" s="345">
        <v>0</v>
      </c>
      <c r="AC13" s="345">
        <v>0</v>
      </c>
      <c r="AD13" s="345">
        <v>0</v>
      </c>
      <c r="AE13" s="345">
        <v>0</v>
      </c>
      <c r="AF13" s="345">
        <v>0</v>
      </c>
      <c r="AG13" s="345">
        <v>0</v>
      </c>
      <c r="AH13" s="345">
        <v>0</v>
      </c>
      <c r="AI13" s="345">
        <v>0</v>
      </c>
      <c r="AJ13" s="345">
        <v>0</v>
      </c>
      <c r="AK13" s="348">
        <v>1974.87838502</v>
      </c>
      <c r="AL13">
        <v>0</v>
      </c>
      <c r="AM13">
        <v>0</v>
      </c>
      <c r="AN13">
        <v>0</v>
      </c>
      <c r="AO13">
        <v>0</v>
      </c>
      <c r="AP13">
        <v>0</v>
      </c>
      <c r="AQ13">
        <v>0</v>
      </c>
      <c r="AR13">
        <v>0</v>
      </c>
      <c r="AS13">
        <v>0</v>
      </c>
    </row>
    <row r="14" spans="1:45" hidden="1" x14ac:dyDescent="0.25">
      <c r="A14" s="284" t="s">
        <v>37</v>
      </c>
      <c r="B14" s="348">
        <v>4285.8014031499997</v>
      </c>
      <c r="C14" s="348">
        <v>4285.8014031499997</v>
      </c>
      <c r="D14" s="348">
        <v>29021.097804189998</v>
      </c>
      <c r="E14" s="348">
        <v>27458.353467609999</v>
      </c>
      <c r="F14" s="348">
        <v>557.85915999999997</v>
      </c>
      <c r="G14" s="348">
        <v>28.348998999999999</v>
      </c>
      <c r="H14" s="348">
        <v>111.72499999999999</v>
      </c>
      <c r="I14" s="348">
        <v>0.5</v>
      </c>
      <c r="J14" s="348">
        <v>9.7550000000000008</v>
      </c>
      <c r="K14" s="345">
        <v>0</v>
      </c>
      <c r="L14" s="348">
        <v>375.60109999999997</v>
      </c>
      <c r="M14" s="345">
        <v>0</v>
      </c>
      <c r="N14" s="348">
        <v>30.630600000000001</v>
      </c>
      <c r="O14" s="345">
        <v>0</v>
      </c>
      <c r="P14" s="348">
        <v>33.218944999999998</v>
      </c>
      <c r="Q14" s="345">
        <v>0</v>
      </c>
      <c r="R14" s="348">
        <v>53.034278</v>
      </c>
      <c r="S14" s="345">
        <v>0</v>
      </c>
      <c r="T14" s="348">
        <v>22590.219857</v>
      </c>
      <c r="U14" s="348">
        <v>215.79080415000001</v>
      </c>
      <c r="V14" s="348">
        <v>1.3720000000000001</v>
      </c>
      <c r="W14" s="345">
        <v>0</v>
      </c>
      <c r="X14" s="348">
        <v>3686.86579979</v>
      </c>
      <c r="Y14" s="348">
        <v>70.811999999999998</v>
      </c>
      <c r="Z14" s="345">
        <v>0</v>
      </c>
      <c r="AA14" s="348">
        <v>15743.823</v>
      </c>
      <c r="AB14" s="348">
        <v>8.0717278199999996</v>
      </c>
      <c r="AC14" s="348">
        <v>12959.06500104</v>
      </c>
      <c r="AD14" s="345">
        <v>0</v>
      </c>
      <c r="AE14" s="348">
        <v>2.758</v>
      </c>
      <c r="AF14" s="348">
        <v>4285.8014031499997</v>
      </c>
      <c r="AG14" s="348">
        <v>4285.8014031499997</v>
      </c>
      <c r="AH14" s="348">
        <v>3153.02</v>
      </c>
      <c r="AI14" s="348">
        <v>3153.02</v>
      </c>
      <c r="AJ14" s="345">
        <v>0</v>
      </c>
      <c r="AK14" s="345">
        <v>0</v>
      </c>
      <c r="AL14">
        <v>0</v>
      </c>
      <c r="AM14">
        <v>0</v>
      </c>
      <c r="AN14">
        <v>0</v>
      </c>
      <c r="AO14">
        <v>0</v>
      </c>
      <c r="AP14">
        <v>0</v>
      </c>
      <c r="AQ14">
        <v>0</v>
      </c>
      <c r="AR14">
        <v>0</v>
      </c>
      <c r="AS14">
        <v>0</v>
      </c>
    </row>
    <row r="15" spans="1:45" hidden="1" x14ac:dyDescent="0.25">
      <c r="A15" s="284" t="s">
        <v>38</v>
      </c>
      <c r="B15" s="345">
        <v>0</v>
      </c>
      <c r="C15" s="345">
        <v>0</v>
      </c>
      <c r="D15" s="348">
        <v>3537.6227215999997</v>
      </c>
      <c r="E15" s="345">
        <v>0</v>
      </c>
      <c r="F15" s="348">
        <v>529.51016100000004</v>
      </c>
      <c r="G15" s="345">
        <v>0</v>
      </c>
      <c r="H15" s="348">
        <v>111.22499999999999</v>
      </c>
      <c r="I15" s="345">
        <v>0</v>
      </c>
      <c r="J15" s="348">
        <v>9.7550000000000008</v>
      </c>
      <c r="K15" s="345">
        <v>0</v>
      </c>
      <c r="L15" s="348">
        <v>375.60109999999997</v>
      </c>
      <c r="M15" s="345">
        <v>0</v>
      </c>
      <c r="N15" s="348">
        <v>30.630600000000001</v>
      </c>
      <c r="O15" s="345">
        <v>0</v>
      </c>
      <c r="P15" s="348">
        <v>33.218944999999998</v>
      </c>
      <c r="Q15" s="345">
        <v>0</v>
      </c>
      <c r="R15" s="348">
        <v>53.034278</v>
      </c>
      <c r="S15" s="345">
        <v>0</v>
      </c>
      <c r="T15" s="348">
        <v>22374.429052849999</v>
      </c>
      <c r="U15" s="345">
        <v>0</v>
      </c>
      <c r="V15" s="348">
        <v>1.3720000000000001</v>
      </c>
      <c r="W15" s="345">
        <v>0</v>
      </c>
      <c r="X15" s="348">
        <v>3616.0537997900001</v>
      </c>
      <c r="Y15" s="345">
        <v>0</v>
      </c>
      <c r="Z15" s="345">
        <v>0</v>
      </c>
      <c r="AA15" s="348">
        <v>15743.823</v>
      </c>
      <c r="AB15" s="345">
        <v>0</v>
      </c>
      <c r="AC15" s="348">
        <v>12950.99327322</v>
      </c>
      <c r="AD15" s="345">
        <v>0</v>
      </c>
      <c r="AE15" s="348">
        <v>2.758</v>
      </c>
      <c r="AF15" s="345">
        <v>0</v>
      </c>
      <c r="AG15" s="345">
        <v>0</v>
      </c>
      <c r="AH15" s="345">
        <v>0</v>
      </c>
      <c r="AI15" s="345">
        <v>0</v>
      </c>
      <c r="AJ15" s="345">
        <v>0</v>
      </c>
      <c r="AK15" s="348">
        <v>1974.87838502</v>
      </c>
      <c r="AL15">
        <v>0</v>
      </c>
      <c r="AM15">
        <v>0</v>
      </c>
      <c r="AN15">
        <v>0</v>
      </c>
      <c r="AO15">
        <v>0</v>
      </c>
      <c r="AP15">
        <v>0</v>
      </c>
      <c r="AQ15">
        <v>0</v>
      </c>
      <c r="AR15">
        <v>0</v>
      </c>
      <c r="AS15">
        <v>0</v>
      </c>
    </row>
    <row r="16" spans="1:45" x14ac:dyDescent="0.25">
      <c r="A16" s="284" t="s">
        <v>39</v>
      </c>
      <c r="B16" s="345">
        <v>0</v>
      </c>
      <c r="C16" s="345">
        <v>0</v>
      </c>
      <c r="D16" s="348">
        <v>3537.6227215999997</v>
      </c>
      <c r="E16" s="345">
        <v>0</v>
      </c>
      <c r="F16" s="348">
        <v>529.51016100000004</v>
      </c>
      <c r="G16" s="345">
        <v>0</v>
      </c>
      <c r="H16" s="348">
        <v>111.22499999999999</v>
      </c>
      <c r="I16" s="345">
        <v>0</v>
      </c>
      <c r="J16" s="348">
        <v>9.7550000000000008</v>
      </c>
      <c r="K16" s="345">
        <v>0</v>
      </c>
      <c r="L16" s="348">
        <v>375.60109999999997</v>
      </c>
      <c r="M16" s="345">
        <v>0</v>
      </c>
      <c r="N16" s="348">
        <v>30.630600000000001</v>
      </c>
      <c r="O16" s="345">
        <v>0</v>
      </c>
      <c r="P16" s="348">
        <v>33.218944999999998</v>
      </c>
      <c r="Q16" s="345">
        <v>0</v>
      </c>
      <c r="R16" s="348">
        <v>53.034278</v>
      </c>
      <c r="S16" s="345">
        <v>0</v>
      </c>
      <c r="T16" s="348">
        <v>22374.429052849999</v>
      </c>
      <c r="U16" s="345">
        <v>0</v>
      </c>
      <c r="V16" s="348">
        <v>1.3720000000000001</v>
      </c>
      <c r="W16" s="345">
        <v>0</v>
      </c>
      <c r="X16" s="348">
        <v>3616.0537997900001</v>
      </c>
      <c r="Y16" s="345">
        <v>0</v>
      </c>
      <c r="Z16" s="345">
        <v>0</v>
      </c>
      <c r="AA16" s="348">
        <v>15743.823</v>
      </c>
      <c r="AB16" s="345">
        <v>0</v>
      </c>
      <c r="AC16" s="348">
        <v>12950.99327322</v>
      </c>
      <c r="AD16" s="345">
        <v>0</v>
      </c>
      <c r="AE16" s="348">
        <v>2.758</v>
      </c>
      <c r="AF16" s="345">
        <v>0</v>
      </c>
      <c r="AG16" s="345">
        <v>0</v>
      </c>
      <c r="AH16" s="345">
        <v>0</v>
      </c>
      <c r="AI16" s="345">
        <v>0</v>
      </c>
      <c r="AJ16" s="345">
        <v>0</v>
      </c>
      <c r="AK16" s="348">
        <v>1974.87838502</v>
      </c>
      <c r="AM16">
        <f>SUBTOTAL(9,F16:Y16)</f>
        <v>27134.829936639999</v>
      </c>
    </row>
    <row r="17" spans="1:45" hidden="1" x14ac:dyDescent="0.25">
      <c r="A17" s="155">
        <v>1</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s="487">
        <v>0</v>
      </c>
      <c r="AL17">
        <v>0</v>
      </c>
      <c r="AM17">
        <v>0</v>
      </c>
      <c r="AN17">
        <v>0</v>
      </c>
      <c r="AO17">
        <v>0</v>
      </c>
      <c r="AP17">
        <v>0</v>
      </c>
      <c r="AQ17">
        <v>0</v>
      </c>
      <c r="AR17">
        <v>0</v>
      </c>
      <c r="AS17">
        <v>0</v>
      </c>
    </row>
    <row r="18" spans="1:45" hidden="1" x14ac:dyDescent="0.25">
      <c r="A18" s="155" t="s">
        <v>40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s="487">
        <v>0</v>
      </c>
      <c r="AL18">
        <v>0</v>
      </c>
      <c r="AM18">
        <v>0</v>
      </c>
      <c r="AN18">
        <v>0</v>
      </c>
      <c r="AO18">
        <v>0</v>
      </c>
      <c r="AP18">
        <v>0</v>
      </c>
      <c r="AQ18">
        <v>0</v>
      </c>
      <c r="AR18">
        <v>0</v>
      </c>
      <c r="AS18">
        <v>0</v>
      </c>
    </row>
    <row r="19" spans="1:45" hidden="1" x14ac:dyDescent="0.25">
      <c r="A19" s="284" t="s">
        <v>36</v>
      </c>
      <c r="B19" s="345">
        <v>0</v>
      </c>
      <c r="C19" s="345">
        <v>0</v>
      </c>
      <c r="D19" s="345">
        <v>0</v>
      </c>
      <c r="E19" s="345">
        <v>0</v>
      </c>
      <c r="F19" s="345">
        <v>0</v>
      </c>
      <c r="G19" s="345">
        <v>0</v>
      </c>
      <c r="H19" s="345">
        <v>0</v>
      </c>
      <c r="I19" s="345">
        <v>0</v>
      </c>
      <c r="J19" s="345">
        <v>0</v>
      </c>
      <c r="K19" s="345">
        <v>0</v>
      </c>
      <c r="L19" s="345">
        <v>0</v>
      </c>
      <c r="M19" s="345">
        <v>0</v>
      </c>
      <c r="N19" s="345">
        <v>0</v>
      </c>
      <c r="O19" s="345">
        <v>0</v>
      </c>
      <c r="P19" s="345">
        <v>0</v>
      </c>
      <c r="Q19" s="345">
        <v>0</v>
      </c>
      <c r="R19" s="345">
        <v>0</v>
      </c>
      <c r="S19" s="345">
        <v>0</v>
      </c>
      <c r="T19" s="345">
        <v>0</v>
      </c>
      <c r="U19" s="345">
        <v>0</v>
      </c>
      <c r="V19" s="345">
        <v>0</v>
      </c>
      <c r="W19" s="345">
        <v>0</v>
      </c>
      <c r="X19" s="345">
        <v>0</v>
      </c>
      <c r="Y19" s="345">
        <v>0</v>
      </c>
      <c r="Z19" s="345">
        <v>0</v>
      </c>
      <c r="AA19" s="345">
        <v>0</v>
      </c>
      <c r="AB19" s="345">
        <v>0</v>
      </c>
      <c r="AC19" s="345">
        <v>0</v>
      </c>
      <c r="AD19" s="345">
        <v>0</v>
      </c>
      <c r="AE19" s="345">
        <v>0</v>
      </c>
      <c r="AF19" s="345">
        <v>0</v>
      </c>
      <c r="AG19" s="345">
        <v>0</v>
      </c>
      <c r="AH19" s="345">
        <v>0</v>
      </c>
      <c r="AI19" s="345">
        <v>0</v>
      </c>
      <c r="AJ19" s="345">
        <v>0</v>
      </c>
      <c r="AK19" s="345">
        <v>0</v>
      </c>
      <c r="AL19">
        <v>0</v>
      </c>
      <c r="AM19">
        <v>0</v>
      </c>
      <c r="AN19">
        <v>0</v>
      </c>
      <c r="AO19">
        <v>0</v>
      </c>
      <c r="AP19">
        <v>0</v>
      </c>
      <c r="AQ19">
        <v>0</v>
      </c>
      <c r="AR19">
        <v>0</v>
      </c>
      <c r="AS19">
        <v>0</v>
      </c>
    </row>
    <row r="20" spans="1:45" hidden="1" x14ac:dyDescent="0.25">
      <c r="A20" s="284" t="s">
        <v>37</v>
      </c>
      <c r="B20" s="345">
        <v>0</v>
      </c>
      <c r="C20" s="345">
        <v>0</v>
      </c>
      <c r="D20" s="345">
        <v>0</v>
      </c>
      <c r="E20" s="345">
        <v>0</v>
      </c>
      <c r="F20" s="345">
        <v>0</v>
      </c>
      <c r="G20" s="345">
        <v>0</v>
      </c>
      <c r="H20" s="345">
        <v>0</v>
      </c>
      <c r="I20" s="345">
        <v>0</v>
      </c>
      <c r="J20" s="345">
        <v>0</v>
      </c>
      <c r="K20" s="345">
        <v>0</v>
      </c>
      <c r="L20" s="345">
        <v>0</v>
      </c>
      <c r="M20" s="345">
        <v>0</v>
      </c>
      <c r="N20" s="345">
        <v>0</v>
      </c>
      <c r="O20" s="345">
        <v>0</v>
      </c>
      <c r="P20" s="345">
        <v>0</v>
      </c>
      <c r="Q20" s="345">
        <v>0</v>
      </c>
      <c r="R20" s="345">
        <v>0</v>
      </c>
      <c r="S20" s="345">
        <v>0</v>
      </c>
      <c r="T20" s="345">
        <v>0</v>
      </c>
      <c r="U20" s="345">
        <v>0</v>
      </c>
      <c r="V20" s="345">
        <v>0</v>
      </c>
      <c r="W20" s="345">
        <v>0</v>
      </c>
      <c r="X20" s="345">
        <v>0</v>
      </c>
      <c r="Y20" s="345">
        <v>0</v>
      </c>
      <c r="Z20" s="345">
        <v>0</v>
      </c>
      <c r="AA20" s="345">
        <v>0</v>
      </c>
      <c r="AB20" s="345">
        <v>0</v>
      </c>
      <c r="AC20" s="345">
        <v>0</v>
      </c>
      <c r="AD20" s="345">
        <v>0</v>
      </c>
      <c r="AE20" s="345">
        <v>0</v>
      </c>
      <c r="AF20" s="345">
        <v>0</v>
      </c>
      <c r="AG20" s="345">
        <v>0</v>
      </c>
      <c r="AH20" s="345">
        <v>0</v>
      </c>
      <c r="AI20" s="345">
        <v>0</v>
      </c>
      <c r="AJ20" s="345">
        <v>0</v>
      </c>
      <c r="AK20" s="345">
        <v>0</v>
      </c>
      <c r="AL20">
        <v>0</v>
      </c>
      <c r="AM20">
        <v>0</v>
      </c>
      <c r="AN20">
        <v>0</v>
      </c>
      <c r="AO20">
        <v>0</v>
      </c>
      <c r="AP20">
        <v>0</v>
      </c>
      <c r="AQ20">
        <v>0</v>
      </c>
      <c r="AR20">
        <v>0</v>
      </c>
      <c r="AS20">
        <v>0</v>
      </c>
    </row>
    <row r="21" spans="1:45" hidden="1" x14ac:dyDescent="0.25">
      <c r="A21" s="284" t="s">
        <v>38</v>
      </c>
      <c r="B21" s="345">
        <v>0</v>
      </c>
      <c r="C21" s="345">
        <v>0</v>
      </c>
      <c r="D21" s="345">
        <v>0</v>
      </c>
      <c r="E21" s="345">
        <v>0</v>
      </c>
      <c r="F21" s="345">
        <v>0</v>
      </c>
      <c r="G21" s="345">
        <v>0</v>
      </c>
      <c r="H21" s="345">
        <v>0</v>
      </c>
      <c r="I21" s="345">
        <v>0</v>
      </c>
      <c r="J21" s="345">
        <v>0</v>
      </c>
      <c r="K21" s="345">
        <v>0</v>
      </c>
      <c r="L21" s="345">
        <v>0</v>
      </c>
      <c r="M21" s="345">
        <v>0</v>
      </c>
      <c r="N21" s="345">
        <v>0</v>
      </c>
      <c r="O21" s="345">
        <v>0</v>
      </c>
      <c r="P21" s="345">
        <v>0</v>
      </c>
      <c r="Q21" s="345">
        <v>0</v>
      </c>
      <c r="R21" s="345">
        <v>0</v>
      </c>
      <c r="S21" s="345">
        <v>0</v>
      </c>
      <c r="T21" s="345">
        <v>0</v>
      </c>
      <c r="U21" s="345">
        <v>0</v>
      </c>
      <c r="V21" s="345">
        <v>0</v>
      </c>
      <c r="W21" s="345">
        <v>0</v>
      </c>
      <c r="X21" s="345">
        <v>0</v>
      </c>
      <c r="Y21" s="345">
        <v>0</v>
      </c>
      <c r="Z21" s="345">
        <v>0</v>
      </c>
      <c r="AA21" s="345">
        <v>0</v>
      </c>
      <c r="AB21" s="345">
        <v>0</v>
      </c>
      <c r="AC21" s="345">
        <v>0</v>
      </c>
      <c r="AD21" s="345">
        <v>0</v>
      </c>
      <c r="AE21" s="345">
        <v>0</v>
      </c>
      <c r="AF21" s="345">
        <v>0</v>
      </c>
      <c r="AG21" s="345">
        <v>0</v>
      </c>
      <c r="AH21" s="345">
        <v>0</v>
      </c>
      <c r="AI21" s="345">
        <v>0</v>
      </c>
      <c r="AJ21" s="345">
        <v>0</v>
      </c>
      <c r="AK21" s="345">
        <v>0</v>
      </c>
      <c r="AL21">
        <v>0</v>
      </c>
      <c r="AM21">
        <v>0</v>
      </c>
      <c r="AN21">
        <v>0</v>
      </c>
      <c r="AO21">
        <v>0</v>
      </c>
      <c r="AP21">
        <v>0</v>
      </c>
      <c r="AQ21">
        <v>0</v>
      </c>
      <c r="AR21">
        <v>0</v>
      </c>
      <c r="AS21">
        <v>0</v>
      </c>
    </row>
    <row r="22" spans="1:45" x14ac:dyDescent="0.25">
      <c r="A22" s="284" t="s">
        <v>39</v>
      </c>
      <c r="B22" s="345">
        <v>0</v>
      </c>
      <c r="C22" s="345">
        <v>0</v>
      </c>
      <c r="D22" s="345">
        <v>0</v>
      </c>
      <c r="E22" s="345">
        <v>0</v>
      </c>
      <c r="F22" s="345">
        <v>0</v>
      </c>
      <c r="G22" s="345">
        <v>0</v>
      </c>
      <c r="H22" s="345">
        <v>0</v>
      </c>
      <c r="I22" s="345">
        <v>0</v>
      </c>
      <c r="J22" s="345">
        <v>0</v>
      </c>
      <c r="K22" s="345">
        <v>0</v>
      </c>
      <c r="L22" s="345">
        <v>0</v>
      </c>
      <c r="M22" s="345">
        <v>0</v>
      </c>
      <c r="N22" s="345">
        <v>0</v>
      </c>
      <c r="O22" s="345">
        <v>0</v>
      </c>
      <c r="P22" s="345">
        <v>0</v>
      </c>
      <c r="Q22" s="345">
        <v>0</v>
      </c>
      <c r="R22" s="345">
        <v>0</v>
      </c>
      <c r="S22" s="345">
        <v>0</v>
      </c>
      <c r="T22" s="345">
        <v>0</v>
      </c>
      <c r="U22" s="345">
        <v>0</v>
      </c>
      <c r="V22" s="345">
        <v>0</v>
      </c>
      <c r="W22" s="345">
        <v>0</v>
      </c>
      <c r="X22" s="345">
        <v>0</v>
      </c>
      <c r="Y22" s="345">
        <v>0</v>
      </c>
      <c r="Z22" s="345">
        <v>0</v>
      </c>
      <c r="AA22" s="345">
        <v>0</v>
      </c>
      <c r="AB22" s="345">
        <v>0</v>
      </c>
      <c r="AC22" s="345">
        <v>0</v>
      </c>
      <c r="AD22" s="345">
        <v>0</v>
      </c>
      <c r="AE22" s="345">
        <v>0</v>
      </c>
      <c r="AF22" s="345">
        <v>0</v>
      </c>
      <c r="AG22" s="345">
        <v>0</v>
      </c>
      <c r="AH22" s="345">
        <v>0</v>
      </c>
      <c r="AI22" s="345">
        <v>0</v>
      </c>
      <c r="AJ22" s="345">
        <v>0</v>
      </c>
      <c r="AK22" s="345">
        <v>0</v>
      </c>
      <c r="AM22">
        <f>SUBTOTAL(9,F22:Y22)</f>
        <v>0</v>
      </c>
    </row>
    <row r="23" spans="1:45" hidden="1" x14ac:dyDescent="0.25">
      <c r="A23" s="155">
        <v>1</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s="487">
        <v>0</v>
      </c>
      <c r="AL23">
        <v>0</v>
      </c>
      <c r="AM23">
        <v>0</v>
      </c>
      <c r="AN23">
        <v>0</v>
      </c>
      <c r="AO23">
        <v>0</v>
      </c>
      <c r="AP23">
        <v>0</v>
      </c>
      <c r="AQ23">
        <v>0</v>
      </c>
      <c r="AR23">
        <v>0</v>
      </c>
      <c r="AS23">
        <v>0</v>
      </c>
    </row>
    <row r="24" spans="1:45" hidden="1" x14ac:dyDescent="0.25">
      <c r="A24" s="155" t="s">
        <v>41</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s="487">
        <v>0</v>
      </c>
      <c r="AL24">
        <v>0</v>
      </c>
      <c r="AM24">
        <v>0</v>
      </c>
      <c r="AN24">
        <v>0</v>
      </c>
      <c r="AO24">
        <v>0</v>
      </c>
      <c r="AP24">
        <v>0</v>
      </c>
      <c r="AQ24">
        <v>0</v>
      </c>
      <c r="AR24">
        <v>0</v>
      </c>
      <c r="AS24">
        <v>0</v>
      </c>
    </row>
    <row r="25" spans="1:45" hidden="1" x14ac:dyDescent="0.25">
      <c r="A25" s="284" t="s">
        <v>36</v>
      </c>
      <c r="B25" s="345">
        <v>0</v>
      </c>
      <c r="C25" s="345">
        <v>0</v>
      </c>
      <c r="D25" s="348">
        <v>100.26445493999999</v>
      </c>
      <c r="E25" s="345">
        <v>0</v>
      </c>
      <c r="F25" s="345">
        <v>0</v>
      </c>
      <c r="G25" s="345">
        <v>0</v>
      </c>
      <c r="H25" s="345">
        <v>0</v>
      </c>
      <c r="I25" s="345">
        <v>0</v>
      </c>
      <c r="J25" s="345">
        <v>0</v>
      </c>
      <c r="K25" s="345">
        <v>0</v>
      </c>
      <c r="L25" s="345">
        <v>0</v>
      </c>
      <c r="M25" s="345">
        <v>0</v>
      </c>
      <c r="N25" s="345">
        <v>0</v>
      </c>
      <c r="O25" s="345">
        <v>0</v>
      </c>
      <c r="P25" s="345">
        <v>0</v>
      </c>
      <c r="Q25" s="345">
        <v>0</v>
      </c>
      <c r="R25" s="345">
        <v>0</v>
      </c>
      <c r="S25" s="345">
        <v>0</v>
      </c>
      <c r="T25" s="345">
        <v>0</v>
      </c>
      <c r="U25" s="345">
        <v>0</v>
      </c>
      <c r="V25" s="345">
        <v>0</v>
      </c>
      <c r="W25" s="345">
        <v>0</v>
      </c>
      <c r="X25" s="345">
        <v>0</v>
      </c>
      <c r="Y25" s="345">
        <v>0</v>
      </c>
      <c r="Z25" s="345">
        <v>0</v>
      </c>
      <c r="AA25" s="345">
        <v>0</v>
      </c>
      <c r="AB25" s="345">
        <v>0</v>
      </c>
      <c r="AC25" s="345">
        <v>0</v>
      </c>
      <c r="AD25" s="345">
        <v>0</v>
      </c>
      <c r="AE25" s="345">
        <v>0</v>
      </c>
      <c r="AF25" s="345">
        <v>0</v>
      </c>
      <c r="AG25" s="345">
        <v>0</v>
      </c>
      <c r="AH25" s="345">
        <v>0</v>
      </c>
      <c r="AI25" s="345">
        <v>0</v>
      </c>
      <c r="AJ25" s="345">
        <v>0</v>
      </c>
      <c r="AK25" s="348">
        <v>100.26445493999999</v>
      </c>
      <c r="AL25">
        <v>0</v>
      </c>
      <c r="AM25">
        <v>0</v>
      </c>
      <c r="AN25">
        <v>0</v>
      </c>
      <c r="AO25">
        <v>0</v>
      </c>
      <c r="AP25">
        <v>0</v>
      </c>
      <c r="AQ25">
        <v>0</v>
      </c>
      <c r="AR25">
        <v>0</v>
      </c>
      <c r="AS25">
        <v>0</v>
      </c>
    </row>
    <row r="26" spans="1:45" hidden="1" x14ac:dyDescent="0.25">
      <c r="A26" s="284" t="s">
        <v>37</v>
      </c>
      <c r="B26" s="348">
        <v>1294.0950037999999</v>
      </c>
      <c r="C26" s="348">
        <v>1294.0950037999999</v>
      </c>
      <c r="D26" s="348">
        <v>4393.8811533100006</v>
      </c>
      <c r="E26" s="348">
        <v>4299.4166949999999</v>
      </c>
      <c r="F26" s="345">
        <v>0</v>
      </c>
      <c r="G26" s="345">
        <v>0</v>
      </c>
      <c r="H26" s="345">
        <v>0</v>
      </c>
      <c r="I26" s="345">
        <v>0</v>
      </c>
      <c r="J26" s="345">
        <v>0</v>
      </c>
      <c r="K26" s="345">
        <v>0</v>
      </c>
      <c r="L26" s="348">
        <v>375.60109999999997</v>
      </c>
      <c r="M26" s="345">
        <v>0</v>
      </c>
      <c r="N26" s="345">
        <v>0</v>
      </c>
      <c r="O26" s="345">
        <v>0</v>
      </c>
      <c r="P26" s="345">
        <v>0</v>
      </c>
      <c r="Q26" s="345">
        <v>0</v>
      </c>
      <c r="R26" s="345">
        <v>0</v>
      </c>
      <c r="S26" s="345">
        <v>0</v>
      </c>
      <c r="T26" s="348">
        <v>3363.3</v>
      </c>
      <c r="U26" s="348">
        <v>12.627403800000002</v>
      </c>
      <c r="V26" s="348">
        <v>0.97199999999999998</v>
      </c>
      <c r="W26" s="345">
        <v>0</v>
      </c>
      <c r="X26" s="348">
        <v>557.060472</v>
      </c>
      <c r="Y26" s="348">
        <v>2</v>
      </c>
      <c r="Z26" s="345">
        <v>0</v>
      </c>
      <c r="AA26" s="348">
        <v>1674.8</v>
      </c>
      <c r="AB26" s="348">
        <v>2.483123</v>
      </c>
      <c r="AC26" s="348">
        <v>2703.4537495100003</v>
      </c>
      <c r="AD26" s="345">
        <v>0</v>
      </c>
      <c r="AE26" s="348">
        <v>1</v>
      </c>
      <c r="AF26" s="348">
        <v>1294.0950037999999</v>
      </c>
      <c r="AG26" s="348">
        <v>1294.0950037999999</v>
      </c>
      <c r="AH26" s="345">
        <v>0</v>
      </c>
      <c r="AI26" s="345">
        <v>0</v>
      </c>
      <c r="AJ26" s="345">
        <v>0</v>
      </c>
      <c r="AK26" s="345">
        <v>0</v>
      </c>
      <c r="AL26">
        <v>0</v>
      </c>
      <c r="AM26">
        <v>0</v>
      </c>
      <c r="AN26">
        <v>0</v>
      </c>
      <c r="AO26">
        <v>0</v>
      </c>
      <c r="AP26">
        <v>0</v>
      </c>
      <c r="AQ26">
        <v>0</v>
      </c>
      <c r="AR26">
        <v>0</v>
      </c>
      <c r="AS26">
        <v>0</v>
      </c>
    </row>
    <row r="27" spans="1:45" hidden="1" x14ac:dyDescent="0.25">
      <c r="A27" s="284" t="s">
        <v>38</v>
      </c>
      <c r="B27" s="345">
        <v>0</v>
      </c>
      <c r="C27" s="345">
        <v>0</v>
      </c>
      <c r="D27" s="348">
        <v>194.72891325000001</v>
      </c>
      <c r="E27" s="345">
        <v>0</v>
      </c>
      <c r="F27" s="345">
        <v>0</v>
      </c>
      <c r="G27" s="345">
        <v>0</v>
      </c>
      <c r="H27" s="345">
        <v>0</v>
      </c>
      <c r="I27" s="345">
        <v>0</v>
      </c>
      <c r="J27" s="345">
        <v>0</v>
      </c>
      <c r="K27" s="345">
        <v>0</v>
      </c>
      <c r="L27" s="348">
        <v>375.60109999999997</v>
      </c>
      <c r="M27" s="345">
        <v>0</v>
      </c>
      <c r="N27" s="345">
        <v>0</v>
      </c>
      <c r="O27" s="345">
        <v>0</v>
      </c>
      <c r="P27" s="345">
        <v>0</v>
      </c>
      <c r="Q27" s="345">
        <v>0</v>
      </c>
      <c r="R27" s="345">
        <v>0</v>
      </c>
      <c r="S27" s="345">
        <v>0</v>
      </c>
      <c r="T27" s="348">
        <v>3350.6725961999996</v>
      </c>
      <c r="U27" s="345">
        <v>0</v>
      </c>
      <c r="V27" s="348">
        <v>0.97199999999999998</v>
      </c>
      <c r="W27" s="345">
        <v>0</v>
      </c>
      <c r="X27" s="348">
        <v>555.060472</v>
      </c>
      <c r="Y27" s="345">
        <v>0</v>
      </c>
      <c r="Z27" s="345">
        <v>0</v>
      </c>
      <c r="AA27" s="348">
        <v>1674.8</v>
      </c>
      <c r="AB27" s="345">
        <v>0</v>
      </c>
      <c r="AC27" s="348">
        <v>2700.9706265100003</v>
      </c>
      <c r="AD27" s="345">
        <v>0</v>
      </c>
      <c r="AE27" s="348">
        <v>1</v>
      </c>
      <c r="AF27" s="345">
        <v>0</v>
      </c>
      <c r="AG27" s="345">
        <v>0</v>
      </c>
      <c r="AH27" s="345">
        <v>0</v>
      </c>
      <c r="AI27" s="345">
        <v>0</v>
      </c>
      <c r="AJ27" s="345">
        <v>0</v>
      </c>
      <c r="AK27" s="348">
        <v>100.26445493999999</v>
      </c>
      <c r="AL27">
        <v>0</v>
      </c>
      <c r="AM27">
        <v>0</v>
      </c>
      <c r="AN27">
        <v>0</v>
      </c>
      <c r="AO27">
        <v>0</v>
      </c>
      <c r="AP27">
        <v>0</v>
      </c>
      <c r="AQ27">
        <v>0</v>
      </c>
      <c r="AR27">
        <v>0</v>
      </c>
      <c r="AS27">
        <v>0</v>
      </c>
    </row>
    <row r="28" spans="1:45" x14ac:dyDescent="0.25">
      <c r="A28" s="284" t="s">
        <v>39</v>
      </c>
      <c r="B28" s="345">
        <v>0</v>
      </c>
      <c r="C28" s="345">
        <v>0</v>
      </c>
      <c r="D28" s="348">
        <v>194.72891325000001</v>
      </c>
      <c r="E28" s="345">
        <v>0</v>
      </c>
      <c r="F28" s="345">
        <v>0</v>
      </c>
      <c r="G28" s="345">
        <v>0</v>
      </c>
      <c r="H28" s="345">
        <v>0</v>
      </c>
      <c r="I28" s="345">
        <v>0</v>
      </c>
      <c r="J28" s="345">
        <v>0</v>
      </c>
      <c r="K28" s="345">
        <v>0</v>
      </c>
      <c r="L28" s="348">
        <v>375.60109999999997</v>
      </c>
      <c r="M28" s="345">
        <v>0</v>
      </c>
      <c r="N28" s="345">
        <v>0</v>
      </c>
      <c r="O28" s="345">
        <v>0</v>
      </c>
      <c r="P28" s="345">
        <v>0</v>
      </c>
      <c r="Q28" s="345">
        <v>0</v>
      </c>
      <c r="R28" s="345">
        <v>0</v>
      </c>
      <c r="S28" s="345">
        <v>0</v>
      </c>
      <c r="T28" s="348">
        <v>3350.6725961999996</v>
      </c>
      <c r="U28" s="345">
        <v>0</v>
      </c>
      <c r="V28" s="348">
        <v>0.97199999999999998</v>
      </c>
      <c r="W28" s="345">
        <v>0</v>
      </c>
      <c r="X28" s="348">
        <v>555.060472</v>
      </c>
      <c r="Y28" s="345">
        <v>0</v>
      </c>
      <c r="Z28" s="345">
        <v>0</v>
      </c>
      <c r="AA28" s="348">
        <v>1674.8</v>
      </c>
      <c r="AB28" s="345">
        <v>0</v>
      </c>
      <c r="AC28" s="348">
        <v>2700.9706265100003</v>
      </c>
      <c r="AD28" s="345">
        <v>0</v>
      </c>
      <c r="AE28" s="348">
        <v>1</v>
      </c>
      <c r="AF28" s="345">
        <v>0</v>
      </c>
      <c r="AG28" s="345">
        <v>0</v>
      </c>
      <c r="AH28" s="345">
        <v>0</v>
      </c>
      <c r="AI28" s="345">
        <v>0</v>
      </c>
      <c r="AJ28" s="345">
        <v>0</v>
      </c>
      <c r="AK28" s="348">
        <v>100.26445493999999</v>
      </c>
      <c r="AM28">
        <f>SUBTOTAL(9,F28:Y28)</f>
        <v>4282.3061681999998</v>
      </c>
    </row>
    <row r="29" spans="1:45" hidden="1" x14ac:dyDescent="0.25">
      <c r="A29" s="155">
        <v>1</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s="487">
        <v>0</v>
      </c>
      <c r="AL29">
        <v>0</v>
      </c>
      <c r="AM29">
        <v>0</v>
      </c>
      <c r="AN29">
        <v>0</v>
      </c>
      <c r="AO29">
        <v>0</v>
      </c>
      <c r="AP29">
        <v>0</v>
      </c>
      <c r="AQ29">
        <v>0</v>
      </c>
      <c r="AR29">
        <v>0</v>
      </c>
      <c r="AS29">
        <v>0</v>
      </c>
    </row>
    <row r="30" spans="1:45" hidden="1" x14ac:dyDescent="0.25">
      <c r="A30" s="155" t="s">
        <v>42</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s="487">
        <v>0</v>
      </c>
      <c r="AL30">
        <v>0</v>
      </c>
      <c r="AM30">
        <v>0</v>
      </c>
      <c r="AN30">
        <v>0</v>
      </c>
      <c r="AO30">
        <v>0</v>
      </c>
      <c r="AP30">
        <v>0</v>
      </c>
      <c r="AQ30">
        <v>0</v>
      </c>
      <c r="AR30">
        <v>0</v>
      </c>
      <c r="AS30">
        <v>0</v>
      </c>
    </row>
    <row r="31" spans="1:45" hidden="1" x14ac:dyDescent="0.25">
      <c r="A31" s="284" t="s">
        <v>36</v>
      </c>
      <c r="B31" s="345">
        <v>0</v>
      </c>
      <c r="C31" s="345">
        <v>0</v>
      </c>
      <c r="D31" s="348">
        <v>24.995449579999999</v>
      </c>
      <c r="E31" s="345">
        <v>0</v>
      </c>
      <c r="F31" s="345">
        <v>0</v>
      </c>
      <c r="G31" s="345">
        <v>0</v>
      </c>
      <c r="H31" s="345">
        <v>0</v>
      </c>
      <c r="I31" s="345">
        <v>0</v>
      </c>
      <c r="J31" s="345">
        <v>0</v>
      </c>
      <c r="K31" s="345">
        <v>0</v>
      </c>
      <c r="L31" s="345">
        <v>0</v>
      </c>
      <c r="M31" s="345">
        <v>0</v>
      </c>
      <c r="N31" s="345">
        <v>0</v>
      </c>
      <c r="O31" s="345">
        <v>0</v>
      </c>
      <c r="P31" s="345">
        <v>0</v>
      </c>
      <c r="Q31" s="345">
        <v>0</v>
      </c>
      <c r="R31" s="345">
        <v>0</v>
      </c>
      <c r="S31" s="345">
        <v>0</v>
      </c>
      <c r="T31" s="345">
        <v>0</v>
      </c>
      <c r="U31" s="345">
        <v>0</v>
      </c>
      <c r="V31" s="345">
        <v>0</v>
      </c>
      <c r="W31" s="345">
        <v>0</v>
      </c>
      <c r="X31" s="345">
        <v>0</v>
      </c>
      <c r="Y31" s="345">
        <v>0</v>
      </c>
      <c r="Z31" s="345">
        <v>0</v>
      </c>
      <c r="AA31" s="345">
        <v>0</v>
      </c>
      <c r="AB31" s="345">
        <v>0</v>
      </c>
      <c r="AC31" s="345">
        <v>0</v>
      </c>
      <c r="AD31" s="345">
        <v>0</v>
      </c>
      <c r="AE31" s="345">
        <v>0</v>
      </c>
      <c r="AF31" s="345">
        <v>0</v>
      </c>
      <c r="AG31" s="345">
        <v>0</v>
      </c>
      <c r="AH31" s="345">
        <v>0</v>
      </c>
      <c r="AI31" s="345">
        <v>0</v>
      </c>
      <c r="AJ31" s="345">
        <v>0</v>
      </c>
      <c r="AK31" s="348">
        <v>24.995449579999999</v>
      </c>
      <c r="AL31">
        <v>0</v>
      </c>
      <c r="AM31">
        <v>0</v>
      </c>
      <c r="AN31">
        <v>0</v>
      </c>
      <c r="AO31">
        <v>0</v>
      </c>
      <c r="AP31">
        <v>0</v>
      </c>
      <c r="AQ31">
        <v>0</v>
      </c>
      <c r="AR31">
        <v>0</v>
      </c>
      <c r="AS31">
        <v>0</v>
      </c>
    </row>
    <row r="32" spans="1:45" hidden="1" x14ac:dyDescent="0.25">
      <c r="A32" s="284" t="s">
        <v>37</v>
      </c>
      <c r="B32" s="348">
        <v>15.0128</v>
      </c>
      <c r="C32" s="348">
        <v>15.0128</v>
      </c>
      <c r="D32" s="348">
        <v>2071.3908600599998</v>
      </c>
      <c r="E32" s="348">
        <v>1675.3039550000001</v>
      </c>
      <c r="F32" s="345">
        <v>0</v>
      </c>
      <c r="G32" s="345">
        <v>0</v>
      </c>
      <c r="H32" s="345">
        <v>0</v>
      </c>
      <c r="I32" s="345">
        <v>0</v>
      </c>
      <c r="J32" s="345">
        <v>0</v>
      </c>
      <c r="K32" s="345">
        <v>0</v>
      </c>
      <c r="L32" s="345">
        <v>0</v>
      </c>
      <c r="M32" s="345">
        <v>0</v>
      </c>
      <c r="N32" s="345">
        <v>0</v>
      </c>
      <c r="O32" s="345">
        <v>0</v>
      </c>
      <c r="P32" s="345">
        <v>0</v>
      </c>
      <c r="Q32" s="345">
        <v>0</v>
      </c>
      <c r="R32" s="345">
        <v>0</v>
      </c>
      <c r="S32" s="345">
        <v>0</v>
      </c>
      <c r="T32" s="348">
        <v>1360.98</v>
      </c>
      <c r="U32" s="348">
        <v>11.1408</v>
      </c>
      <c r="V32" s="345">
        <v>0</v>
      </c>
      <c r="W32" s="345">
        <v>0</v>
      </c>
      <c r="X32" s="348">
        <v>314.07929999999999</v>
      </c>
      <c r="Y32" s="348">
        <v>3.8719999999999999</v>
      </c>
      <c r="Z32" s="345">
        <v>0</v>
      </c>
      <c r="AA32" s="348">
        <v>1338.0319999999999</v>
      </c>
      <c r="AB32" s="348">
        <v>0.24465500000000001</v>
      </c>
      <c r="AC32" s="348">
        <v>718.3460600599999</v>
      </c>
      <c r="AD32" s="345">
        <v>0</v>
      </c>
      <c r="AE32" s="345">
        <v>0</v>
      </c>
      <c r="AF32" s="348">
        <v>15.0128</v>
      </c>
      <c r="AG32" s="348">
        <v>15.0128</v>
      </c>
      <c r="AH32" s="345">
        <v>0</v>
      </c>
      <c r="AI32" s="345">
        <v>0</v>
      </c>
      <c r="AJ32" s="345">
        <v>0</v>
      </c>
      <c r="AK32" s="345">
        <v>0</v>
      </c>
      <c r="AL32">
        <v>0</v>
      </c>
      <c r="AM32">
        <v>0</v>
      </c>
      <c r="AN32">
        <v>0</v>
      </c>
      <c r="AO32">
        <v>0</v>
      </c>
      <c r="AP32">
        <v>0</v>
      </c>
      <c r="AQ32">
        <v>0</v>
      </c>
      <c r="AR32">
        <v>0</v>
      </c>
      <c r="AS32">
        <v>0</v>
      </c>
    </row>
    <row r="33" spans="1:45" hidden="1" x14ac:dyDescent="0.25">
      <c r="A33" s="284" t="s">
        <v>38</v>
      </c>
      <c r="B33" s="345">
        <v>0</v>
      </c>
      <c r="C33" s="345">
        <v>0</v>
      </c>
      <c r="D33" s="348">
        <v>421.08235464000001</v>
      </c>
      <c r="E33" s="345">
        <v>0</v>
      </c>
      <c r="F33" s="345">
        <v>0</v>
      </c>
      <c r="G33" s="345">
        <v>0</v>
      </c>
      <c r="H33" s="345">
        <v>0</v>
      </c>
      <c r="I33" s="345">
        <v>0</v>
      </c>
      <c r="J33" s="345">
        <v>0</v>
      </c>
      <c r="K33" s="345">
        <v>0</v>
      </c>
      <c r="L33" s="345">
        <v>0</v>
      </c>
      <c r="M33" s="345">
        <v>0</v>
      </c>
      <c r="N33" s="345">
        <v>0</v>
      </c>
      <c r="O33" s="345">
        <v>0</v>
      </c>
      <c r="P33" s="345">
        <v>0</v>
      </c>
      <c r="Q33" s="345">
        <v>0</v>
      </c>
      <c r="R33" s="345">
        <v>0</v>
      </c>
      <c r="S33" s="345">
        <v>0</v>
      </c>
      <c r="T33" s="348">
        <v>1349.8391999999999</v>
      </c>
      <c r="U33" s="345">
        <v>0</v>
      </c>
      <c r="V33" s="345">
        <v>0</v>
      </c>
      <c r="W33" s="345">
        <v>0</v>
      </c>
      <c r="X33" s="348">
        <v>310.20729999999998</v>
      </c>
      <c r="Y33" s="345">
        <v>0</v>
      </c>
      <c r="Z33" s="345">
        <v>0</v>
      </c>
      <c r="AA33" s="348">
        <v>1338.0319999999999</v>
      </c>
      <c r="AB33" s="345">
        <v>0</v>
      </c>
      <c r="AC33" s="348">
        <v>718.10140505999993</v>
      </c>
      <c r="AD33" s="345">
        <v>0</v>
      </c>
      <c r="AE33" s="345">
        <v>0</v>
      </c>
      <c r="AF33" s="345">
        <v>0</v>
      </c>
      <c r="AG33" s="345">
        <v>0</v>
      </c>
      <c r="AH33" s="345">
        <v>0</v>
      </c>
      <c r="AI33" s="345">
        <v>0</v>
      </c>
      <c r="AJ33" s="345">
        <v>0</v>
      </c>
      <c r="AK33" s="348">
        <v>24.995449579999999</v>
      </c>
      <c r="AL33">
        <v>0</v>
      </c>
      <c r="AM33">
        <v>0</v>
      </c>
      <c r="AN33">
        <v>0</v>
      </c>
      <c r="AO33">
        <v>0</v>
      </c>
      <c r="AP33">
        <v>0</v>
      </c>
      <c r="AQ33">
        <v>0</v>
      </c>
      <c r="AR33">
        <v>0</v>
      </c>
      <c r="AS33">
        <v>0</v>
      </c>
    </row>
    <row r="34" spans="1:45" x14ac:dyDescent="0.25">
      <c r="A34" s="284" t="s">
        <v>39</v>
      </c>
      <c r="B34" s="345">
        <v>0</v>
      </c>
      <c r="C34" s="345">
        <v>0</v>
      </c>
      <c r="D34" s="348">
        <v>421.08235464000001</v>
      </c>
      <c r="E34" s="345">
        <v>0</v>
      </c>
      <c r="F34" s="345">
        <v>0</v>
      </c>
      <c r="G34" s="345">
        <v>0</v>
      </c>
      <c r="H34" s="345">
        <v>0</v>
      </c>
      <c r="I34" s="345">
        <v>0</v>
      </c>
      <c r="J34" s="345">
        <v>0</v>
      </c>
      <c r="K34" s="345">
        <v>0</v>
      </c>
      <c r="L34" s="345">
        <v>0</v>
      </c>
      <c r="M34" s="345">
        <v>0</v>
      </c>
      <c r="N34" s="345">
        <v>0</v>
      </c>
      <c r="O34" s="345">
        <v>0</v>
      </c>
      <c r="P34" s="345">
        <v>0</v>
      </c>
      <c r="Q34" s="345">
        <v>0</v>
      </c>
      <c r="R34" s="345">
        <v>0</v>
      </c>
      <c r="S34" s="345">
        <v>0</v>
      </c>
      <c r="T34" s="348">
        <v>1349.8391999999999</v>
      </c>
      <c r="U34" s="345">
        <v>0</v>
      </c>
      <c r="V34" s="345">
        <v>0</v>
      </c>
      <c r="W34" s="345">
        <v>0</v>
      </c>
      <c r="X34" s="348">
        <v>310.20729999999998</v>
      </c>
      <c r="Y34" s="345">
        <v>0</v>
      </c>
      <c r="Z34" s="345">
        <v>0</v>
      </c>
      <c r="AA34" s="348">
        <v>1338.0319999999999</v>
      </c>
      <c r="AB34" s="345">
        <v>0</v>
      </c>
      <c r="AC34" s="348">
        <v>718.10140505999993</v>
      </c>
      <c r="AD34" s="345">
        <v>0</v>
      </c>
      <c r="AE34" s="345">
        <v>0</v>
      </c>
      <c r="AF34" s="345">
        <v>0</v>
      </c>
      <c r="AG34" s="345">
        <v>0</v>
      </c>
      <c r="AH34" s="345">
        <v>0</v>
      </c>
      <c r="AI34" s="345">
        <v>0</v>
      </c>
      <c r="AJ34" s="345">
        <v>0</v>
      </c>
      <c r="AK34" s="348">
        <v>24.995449579999999</v>
      </c>
      <c r="AM34">
        <f>SUBTOTAL(9,F34:Y34)</f>
        <v>1660.0464999999999</v>
      </c>
    </row>
    <row r="35" spans="1:45" hidden="1" x14ac:dyDescent="0.25">
      <c r="A35" s="155">
        <v>1</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s="487">
        <v>0</v>
      </c>
      <c r="AL35">
        <v>0</v>
      </c>
      <c r="AM35">
        <v>0</v>
      </c>
      <c r="AN35">
        <v>0</v>
      </c>
      <c r="AO35">
        <v>0</v>
      </c>
      <c r="AP35">
        <v>0</v>
      </c>
      <c r="AQ35">
        <v>0</v>
      </c>
      <c r="AR35">
        <v>0</v>
      </c>
      <c r="AS35">
        <v>0</v>
      </c>
    </row>
    <row r="36" spans="1:45" hidden="1" x14ac:dyDescent="0.25">
      <c r="A36" s="155" t="s">
        <v>43</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s="487">
        <v>0</v>
      </c>
      <c r="AL36">
        <v>0</v>
      </c>
      <c r="AM36">
        <v>0</v>
      </c>
      <c r="AN36">
        <v>0</v>
      </c>
      <c r="AO36">
        <v>0</v>
      </c>
      <c r="AP36">
        <v>0</v>
      </c>
      <c r="AQ36">
        <v>0</v>
      </c>
      <c r="AR36">
        <v>0</v>
      </c>
      <c r="AS36">
        <v>0</v>
      </c>
    </row>
    <row r="37" spans="1:45" hidden="1" x14ac:dyDescent="0.25">
      <c r="A37" s="284" t="s">
        <v>36</v>
      </c>
      <c r="B37" s="345">
        <v>0</v>
      </c>
      <c r="C37" s="345">
        <v>0</v>
      </c>
      <c r="D37" s="348">
        <v>117.24381278</v>
      </c>
      <c r="E37" s="345">
        <v>0</v>
      </c>
      <c r="F37" s="345">
        <v>0</v>
      </c>
      <c r="G37" s="345">
        <v>0</v>
      </c>
      <c r="H37" s="345">
        <v>0</v>
      </c>
      <c r="I37" s="345">
        <v>0</v>
      </c>
      <c r="J37" s="345">
        <v>0</v>
      </c>
      <c r="K37" s="345">
        <v>0</v>
      </c>
      <c r="L37" s="345">
        <v>0</v>
      </c>
      <c r="M37" s="345">
        <v>0</v>
      </c>
      <c r="N37" s="345">
        <v>0</v>
      </c>
      <c r="O37" s="345">
        <v>0</v>
      </c>
      <c r="P37" s="345">
        <v>0</v>
      </c>
      <c r="Q37" s="345">
        <v>0</v>
      </c>
      <c r="R37" s="345">
        <v>0</v>
      </c>
      <c r="S37" s="345">
        <v>0</v>
      </c>
      <c r="T37" s="345">
        <v>0</v>
      </c>
      <c r="U37" s="345">
        <v>0</v>
      </c>
      <c r="V37" s="345">
        <v>0</v>
      </c>
      <c r="W37" s="345">
        <v>0</v>
      </c>
      <c r="X37" s="345">
        <v>0</v>
      </c>
      <c r="Y37" s="345">
        <v>0</v>
      </c>
      <c r="Z37" s="345">
        <v>0</v>
      </c>
      <c r="AA37" s="345">
        <v>0</v>
      </c>
      <c r="AB37" s="345">
        <v>0</v>
      </c>
      <c r="AC37" s="345">
        <v>0</v>
      </c>
      <c r="AD37" s="345">
        <v>0</v>
      </c>
      <c r="AE37" s="345">
        <v>0</v>
      </c>
      <c r="AF37" s="345">
        <v>0</v>
      </c>
      <c r="AG37" s="345">
        <v>0</v>
      </c>
      <c r="AH37" s="345">
        <v>0</v>
      </c>
      <c r="AI37" s="345">
        <v>0</v>
      </c>
      <c r="AJ37" s="345">
        <v>0</v>
      </c>
      <c r="AK37" s="348">
        <v>117.24381278</v>
      </c>
      <c r="AL37">
        <v>0</v>
      </c>
      <c r="AM37">
        <v>0</v>
      </c>
      <c r="AN37">
        <v>0</v>
      </c>
      <c r="AO37">
        <v>0</v>
      </c>
      <c r="AP37">
        <v>0</v>
      </c>
      <c r="AQ37">
        <v>0</v>
      </c>
      <c r="AR37">
        <v>0</v>
      </c>
      <c r="AS37">
        <v>0</v>
      </c>
    </row>
    <row r="38" spans="1:45" hidden="1" x14ac:dyDescent="0.25">
      <c r="A38" s="284" t="s">
        <v>37</v>
      </c>
      <c r="B38" s="348">
        <v>28.348998999999999</v>
      </c>
      <c r="C38" s="348">
        <v>28.348998999999999</v>
      </c>
      <c r="D38" s="348">
        <v>2233.74685052</v>
      </c>
      <c r="E38" s="348">
        <v>1663.3523039900001</v>
      </c>
      <c r="F38" s="348">
        <v>173.89380299999999</v>
      </c>
      <c r="G38" s="348">
        <v>28.348998999999999</v>
      </c>
      <c r="H38" s="345">
        <v>0</v>
      </c>
      <c r="I38" s="345">
        <v>0</v>
      </c>
      <c r="J38" s="345">
        <v>0</v>
      </c>
      <c r="K38" s="345">
        <v>0</v>
      </c>
      <c r="L38" s="345">
        <v>0</v>
      </c>
      <c r="M38" s="345">
        <v>0</v>
      </c>
      <c r="N38" s="345">
        <v>0</v>
      </c>
      <c r="O38" s="345">
        <v>0</v>
      </c>
      <c r="P38" s="345">
        <v>0</v>
      </c>
      <c r="Q38" s="345">
        <v>0</v>
      </c>
      <c r="R38" s="345">
        <v>0</v>
      </c>
      <c r="S38" s="345">
        <v>0</v>
      </c>
      <c r="T38" s="348">
        <v>1379.5342000000001</v>
      </c>
      <c r="U38" s="345">
        <v>0</v>
      </c>
      <c r="V38" s="348">
        <v>0.4</v>
      </c>
      <c r="W38" s="345">
        <v>0</v>
      </c>
      <c r="X38" s="348">
        <v>109.07793504</v>
      </c>
      <c r="Y38" s="345">
        <v>0</v>
      </c>
      <c r="Z38" s="345">
        <v>0</v>
      </c>
      <c r="AA38" s="348">
        <v>1431.07</v>
      </c>
      <c r="AB38" s="348">
        <v>0.44636595000000001</v>
      </c>
      <c r="AC38" s="348">
        <v>774.32785151999997</v>
      </c>
      <c r="AD38" s="345">
        <v>0</v>
      </c>
      <c r="AE38" s="345">
        <v>0</v>
      </c>
      <c r="AF38" s="348">
        <v>28.348998999999999</v>
      </c>
      <c r="AG38" s="348">
        <v>28.348998999999999</v>
      </c>
      <c r="AH38" s="348">
        <v>1287.1400000000001</v>
      </c>
      <c r="AI38" s="348">
        <v>1287.1400000000001</v>
      </c>
      <c r="AJ38" s="345">
        <v>0</v>
      </c>
      <c r="AK38" s="345">
        <v>0</v>
      </c>
      <c r="AL38">
        <v>0</v>
      </c>
      <c r="AM38">
        <v>0</v>
      </c>
      <c r="AN38">
        <v>0</v>
      </c>
      <c r="AO38">
        <v>0</v>
      </c>
      <c r="AP38">
        <v>0</v>
      </c>
      <c r="AQ38">
        <v>0</v>
      </c>
      <c r="AR38">
        <v>0</v>
      </c>
      <c r="AS38">
        <v>0</v>
      </c>
    </row>
    <row r="39" spans="1:45" hidden="1" x14ac:dyDescent="0.25">
      <c r="A39" s="284" t="s">
        <v>38</v>
      </c>
      <c r="B39" s="345">
        <v>0</v>
      </c>
      <c r="C39" s="345">
        <v>0</v>
      </c>
      <c r="D39" s="348">
        <v>687.63835930999994</v>
      </c>
      <c r="E39" s="345">
        <v>0</v>
      </c>
      <c r="F39" s="348">
        <v>145.544804</v>
      </c>
      <c r="G39" s="345">
        <v>0</v>
      </c>
      <c r="H39" s="345">
        <v>0</v>
      </c>
      <c r="I39" s="345">
        <v>0</v>
      </c>
      <c r="J39" s="345">
        <v>0</v>
      </c>
      <c r="K39" s="345">
        <v>0</v>
      </c>
      <c r="L39" s="345">
        <v>0</v>
      </c>
      <c r="M39" s="345">
        <v>0</v>
      </c>
      <c r="N39" s="345">
        <v>0</v>
      </c>
      <c r="O39" s="345">
        <v>0</v>
      </c>
      <c r="P39" s="345">
        <v>0</v>
      </c>
      <c r="Q39" s="345">
        <v>0</v>
      </c>
      <c r="R39" s="345">
        <v>0</v>
      </c>
      <c r="S39" s="345">
        <v>0</v>
      </c>
      <c r="T39" s="348">
        <v>1379.5342000000001</v>
      </c>
      <c r="U39" s="345">
        <v>0</v>
      </c>
      <c r="V39" s="348">
        <v>0.4</v>
      </c>
      <c r="W39" s="345">
        <v>0</v>
      </c>
      <c r="X39" s="348">
        <v>109.07793504</v>
      </c>
      <c r="Y39" s="345">
        <v>0</v>
      </c>
      <c r="Z39" s="345">
        <v>0</v>
      </c>
      <c r="AA39" s="348">
        <v>1431.07</v>
      </c>
      <c r="AB39" s="345">
        <v>0</v>
      </c>
      <c r="AC39" s="348">
        <v>773.88148557000011</v>
      </c>
      <c r="AD39" s="345">
        <v>0</v>
      </c>
      <c r="AE39" s="345">
        <v>0</v>
      </c>
      <c r="AF39" s="345">
        <v>0</v>
      </c>
      <c r="AG39" s="345">
        <v>0</v>
      </c>
      <c r="AH39" s="345">
        <v>0</v>
      </c>
      <c r="AI39" s="345">
        <v>0</v>
      </c>
      <c r="AJ39" s="345">
        <v>0</v>
      </c>
      <c r="AK39" s="348">
        <v>117.24381278</v>
      </c>
      <c r="AL39">
        <v>0</v>
      </c>
      <c r="AM39">
        <v>0</v>
      </c>
      <c r="AN39">
        <v>0</v>
      </c>
      <c r="AO39">
        <v>0</v>
      </c>
      <c r="AP39">
        <v>0</v>
      </c>
      <c r="AQ39">
        <v>0</v>
      </c>
      <c r="AR39">
        <v>0</v>
      </c>
      <c r="AS39">
        <v>0</v>
      </c>
    </row>
    <row r="40" spans="1:45" x14ac:dyDescent="0.25">
      <c r="A40" s="284" t="s">
        <v>39</v>
      </c>
      <c r="B40" s="345">
        <v>0</v>
      </c>
      <c r="C40" s="345">
        <v>0</v>
      </c>
      <c r="D40" s="348">
        <v>687.63835930999994</v>
      </c>
      <c r="E40" s="345">
        <v>0</v>
      </c>
      <c r="F40" s="348">
        <v>145.544804</v>
      </c>
      <c r="G40" s="345">
        <v>0</v>
      </c>
      <c r="H40" s="345">
        <v>0</v>
      </c>
      <c r="I40" s="345">
        <v>0</v>
      </c>
      <c r="J40" s="345">
        <v>0</v>
      </c>
      <c r="K40" s="345">
        <v>0</v>
      </c>
      <c r="L40" s="345">
        <v>0</v>
      </c>
      <c r="M40" s="345">
        <v>0</v>
      </c>
      <c r="N40" s="345">
        <v>0</v>
      </c>
      <c r="O40" s="345">
        <v>0</v>
      </c>
      <c r="P40" s="345">
        <v>0</v>
      </c>
      <c r="Q40" s="345">
        <v>0</v>
      </c>
      <c r="R40" s="345">
        <v>0</v>
      </c>
      <c r="S40" s="345">
        <v>0</v>
      </c>
      <c r="T40" s="348">
        <v>1379.5342000000001</v>
      </c>
      <c r="U40" s="345">
        <v>0</v>
      </c>
      <c r="V40" s="348">
        <v>0.4</v>
      </c>
      <c r="W40" s="345">
        <v>0</v>
      </c>
      <c r="X40" s="348">
        <v>109.07793504</v>
      </c>
      <c r="Y40" s="345">
        <v>0</v>
      </c>
      <c r="Z40" s="345">
        <v>0</v>
      </c>
      <c r="AA40" s="348">
        <v>1431.07</v>
      </c>
      <c r="AB40" s="345">
        <v>0</v>
      </c>
      <c r="AC40" s="348">
        <v>773.88148557000011</v>
      </c>
      <c r="AD40" s="345">
        <v>0</v>
      </c>
      <c r="AE40" s="345">
        <v>0</v>
      </c>
      <c r="AF40" s="345">
        <v>0</v>
      </c>
      <c r="AG40" s="345">
        <v>0</v>
      </c>
      <c r="AH40" s="345">
        <v>0</v>
      </c>
      <c r="AI40" s="345">
        <v>0</v>
      </c>
      <c r="AJ40" s="345">
        <v>0</v>
      </c>
      <c r="AK40" s="348">
        <v>117.24381278</v>
      </c>
      <c r="AM40">
        <f>SUBTOTAL(9,F40:Y40)</f>
        <v>1634.5569390400003</v>
      </c>
    </row>
    <row r="41" spans="1:45" hidden="1" x14ac:dyDescent="0.25">
      <c r="A41" s="155">
        <v>1</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s="487">
        <v>0</v>
      </c>
      <c r="AL41">
        <v>0</v>
      </c>
      <c r="AM41">
        <v>0</v>
      </c>
      <c r="AN41">
        <v>0</v>
      </c>
      <c r="AO41">
        <v>0</v>
      </c>
      <c r="AP41">
        <v>0</v>
      </c>
      <c r="AQ41">
        <v>0</v>
      </c>
      <c r="AR41">
        <v>0</v>
      </c>
      <c r="AS41">
        <v>0</v>
      </c>
    </row>
    <row r="42" spans="1:45" hidden="1" x14ac:dyDescent="0.25">
      <c r="A42" s="155" t="s">
        <v>44</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s="487">
        <v>0</v>
      </c>
      <c r="AL42">
        <v>0</v>
      </c>
      <c r="AM42">
        <v>0</v>
      </c>
      <c r="AN42">
        <v>0</v>
      </c>
      <c r="AO42">
        <v>0</v>
      </c>
      <c r="AP42">
        <v>0</v>
      </c>
      <c r="AQ42">
        <v>0</v>
      </c>
      <c r="AR42">
        <v>0</v>
      </c>
      <c r="AS42">
        <v>0</v>
      </c>
    </row>
    <row r="43" spans="1:45" hidden="1" x14ac:dyDescent="0.25">
      <c r="A43" s="284" t="s">
        <v>36</v>
      </c>
      <c r="B43" s="345">
        <v>0</v>
      </c>
      <c r="C43" s="345">
        <v>0</v>
      </c>
      <c r="D43" s="348">
        <v>3.3430219000000001</v>
      </c>
      <c r="E43" s="345">
        <v>0</v>
      </c>
      <c r="F43" s="345">
        <v>0</v>
      </c>
      <c r="G43" s="345">
        <v>0</v>
      </c>
      <c r="H43" s="345">
        <v>0</v>
      </c>
      <c r="I43" s="345">
        <v>0</v>
      </c>
      <c r="J43" s="345">
        <v>0</v>
      </c>
      <c r="K43" s="345">
        <v>0</v>
      </c>
      <c r="L43" s="345">
        <v>0</v>
      </c>
      <c r="M43" s="345">
        <v>0</v>
      </c>
      <c r="N43" s="345">
        <v>0</v>
      </c>
      <c r="O43" s="345">
        <v>0</v>
      </c>
      <c r="P43" s="345">
        <v>0</v>
      </c>
      <c r="Q43" s="345">
        <v>0</v>
      </c>
      <c r="R43" s="345">
        <v>0</v>
      </c>
      <c r="S43" s="345">
        <v>0</v>
      </c>
      <c r="T43" s="345">
        <v>0</v>
      </c>
      <c r="U43" s="345">
        <v>0</v>
      </c>
      <c r="V43" s="345">
        <v>0</v>
      </c>
      <c r="W43" s="345">
        <v>0</v>
      </c>
      <c r="X43" s="345">
        <v>0</v>
      </c>
      <c r="Y43" s="345">
        <v>0</v>
      </c>
      <c r="Z43" s="345">
        <v>0</v>
      </c>
      <c r="AA43" s="345">
        <v>0</v>
      </c>
      <c r="AB43" s="345">
        <v>0</v>
      </c>
      <c r="AC43" s="345">
        <v>0</v>
      </c>
      <c r="AD43" s="345">
        <v>0</v>
      </c>
      <c r="AE43" s="345">
        <v>0</v>
      </c>
      <c r="AF43" s="345">
        <v>0</v>
      </c>
      <c r="AG43" s="345">
        <v>0</v>
      </c>
      <c r="AH43" s="345">
        <v>0</v>
      </c>
      <c r="AI43" s="345">
        <v>0</v>
      </c>
      <c r="AJ43" s="345">
        <v>0</v>
      </c>
      <c r="AK43" s="348">
        <v>3.3430219000000001</v>
      </c>
      <c r="AL43">
        <v>0</v>
      </c>
      <c r="AM43">
        <v>0</v>
      </c>
      <c r="AN43">
        <v>0</v>
      </c>
      <c r="AO43">
        <v>0</v>
      </c>
      <c r="AP43">
        <v>0</v>
      </c>
      <c r="AQ43">
        <v>0</v>
      </c>
      <c r="AR43">
        <v>0</v>
      </c>
      <c r="AS43">
        <v>0</v>
      </c>
    </row>
    <row r="44" spans="1:45" hidden="1" x14ac:dyDescent="0.25">
      <c r="A44" s="284" t="s">
        <v>37</v>
      </c>
      <c r="B44" s="348">
        <v>109.94277705</v>
      </c>
      <c r="C44" s="348">
        <v>109.94277705</v>
      </c>
      <c r="D44" s="348">
        <v>2137.3664868199999</v>
      </c>
      <c r="E44" s="348">
        <v>2105.3089034899999</v>
      </c>
      <c r="F44" s="345">
        <v>0</v>
      </c>
      <c r="G44" s="345">
        <v>0</v>
      </c>
      <c r="H44" s="345">
        <v>0</v>
      </c>
      <c r="I44" s="345">
        <v>0</v>
      </c>
      <c r="J44" s="345">
        <v>0</v>
      </c>
      <c r="K44" s="345">
        <v>0</v>
      </c>
      <c r="L44" s="345">
        <v>0</v>
      </c>
      <c r="M44" s="345">
        <v>0</v>
      </c>
      <c r="N44" s="345">
        <v>0</v>
      </c>
      <c r="O44" s="345">
        <v>0</v>
      </c>
      <c r="P44" s="348">
        <v>33.218944999999998</v>
      </c>
      <c r="Q44" s="345">
        <v>0</v>
      </c>
      <c r="R44" s="348">
        <v>23.093553</v>
      </c>
      <c r="S44" s="345">
        <v>0</v>
      </c>
      <c r="T44" s="348">
        <v>1955.637095</v>
      </c>
      <c r="U44" s="348">
        <v>49.942777049999997</v>
      </c>
      <c r="V44" s="345">
        <v>0</v>
      </c>
      <c r="W44" s="345">
        <v>0</v>
      </c>
      <c r="X44" s="348">
        <v>91.55104</v>
      </c>
      <c r="Y44" s="345">
        <v>0</v>
      </c>
      <c r="Z44" s="345">
        <v>0</v>
      </c>
      <c r="AA44" s="348">
        <v>1170.414</v>
      </c>
      <c r="AB44" s="348">
        <v>1.80827049</v>
      </c>
      <c r="AC44" s="348">
        <v>917.00970976999997</v>
      </c>
      <c r="AD44" s="345">
        <v>0</v>
      </c>
      <c r="AE44" s="345">
        <v>0</v>
      </c>
      <c r="AF44" s="348">
        <v>109.94277705</v>
      </c>
      <c r="AG44" s="348">
        <v>109.94277705</v>
      </c>
      <c r="AH44" s="345">
        <v>0</v>
      </c>
      <c r="AI44" s="345">
        <v>0</v>
      </c>
      <c r="AJ44" s="345">
        <v>0</v>
      </c>
      <c r="AK44" s="345">
        <v>0</v>
      </c>
      <c r="AL44">
        <v>0</v>
      </c>
      <c r="AM44">
        <v>0</v>
      </c>
      <c r="AN44">
        <v>0</v>
      </c>
      <c r="AO44">
        <v>0</v>
      </c>
      <c r="AP44">
        <v>0</v>
      </c>
      <c r="AQ44">
        <v>0</v>
      </c>
      <c r="AR44">
        <v>0</v>
      </c>
      <c r="AS44">
        <v>0</v>
      </c>
    </row>
    <row r="45" spans="1:45" hidden="1" x14ac:dyDescent="0.25">
      <c r="A45" s="284" t="s">
        <v>38</v>
      </c>
      <c r="B45" s="345">
        <v>0</v>
      </c>
      <c r="C45" s="345">
        <v>0</v>
      </c>
      <c r="D45" s="348">
        <v>35.400605229999996</v>
      </c>
      <c r="E45" s="345">
        <v>0</v>
      </c>
      <c r="F45" s="345">
        <v>0</v>
      </c>
      <c r="G45" s="345">
        <v>0</v>
      </c>
      <c r="H45" s="345">
        <v>0</v>
      </c>
      <c r="I45" s="345">
        <v>0</v>
      </c>
      <c r="J45" s="345">
        <v>0</v>
      </c>
      <c r="K45" s="345">
        <v>0</v>
      </c>
      <c r="L45" s="345">
        <v>0</v>
      </c>
      <c r="M45" s="345">
        <v>0</v>
      </c>
      <c r="N45" s="345">
        <v>0</v>
      </c>
      <c r="O45" s="345">
        <v>0</v>
      </c>
      <c r="P45" s="348">
        <v>33.218944999999998</v>
      </c>
      <c r="Q45" s="345">
        <v>0</v>
      </c>
      <c r="R45" s="348">
        <v>23.093553</v>
      </c>
      <c r="S45" s="345">
        <v>0</v>
      </c>
      <c r="T45" s="348">
        <v>1905.6943179500001</v>
      </c>
      <c r="U45" s="345">
        <v>0</v>
      </c>
      <c r="V45" s="345">
        <v>0</v>
      </c>
      <c r="W45" s="345">
        <v>0</v>
      </c>
      <c r="X45" s="348">
        <v>91.55104</v>
      </c>
      <c r="Y45" s="345">
        <v>0</v>
      </c>
      <c r="Z45" s="345">
        <v>0</v>
      </c>
      <c r="AA45" s="348">
        <v>1170.414</v>
      </c>
      <c r="AB45" s="345">
        <v>0</v>
      </c>
      <c r="AC45" s="348">
        <v>915.20143927999993</v>
      </c>
      <c r="AD45" s="345">
        <v>0</v>
      </c>
      <c r="AE45" s="345">
        <v>0</v>
      </c>
      <c r="AF45" s="345">
        <v>0</v>
      </c>
      <c r="AG45" s="345">
        <v>0</v>
      </c>
      <c r="AH45" s="345">
        <v>0</v>
      </c>
      <c r="AI45" s="345">
        <v>0</v>
      </c>
      <c r="AJ45" s="345">
        <v>0</v>
      </c>
      <c r="AK45" s="348">
        <v>3.3430219000000001</v>
      </c>
      <c r="AL45">
        <v>0</v>
      </c>
      <c r="AM45">
        <v>0</v>
      </c>
      <c r="AN45">
        <v>0</v>
      </c>
      <c r="AO45">
        <v>0</v>
      </c>
      <c r="AP45">
        <v>0</v>
      </c>
      <c r="AQ45">
        <v>0</v>
      </c>
      <c r="AR45">
        <v>0</v>
      </c>
      <c r="AS45">
        <v>0</v>
      </c>
    </row>
    <row r="46" spans="1:45" x14ac:dyDescent="0.25">
      <c r="A46" s="284" t="s">
        <v>39</v>
      </c>
      <c r="B46" s="345">
        <v>0</v>
      </c>
      <c r="C46" s="345">
        <v>0</v>
      </c>
      <c r="D46" s="348">
        <v>35.400605229999996</v>
      </c>
      <c r="E46" s="345">
        <v>0</v>
      </c>
      <c r="F46" s="345">
        <v>0</v>
      </c>
      <c r="G46" s="345">
        <v>0</v>
      </c>
      <c r="H46" s="345">
        <v>0</v>
      </c>
      <c r="I46" s="345">
        <v>0</v>
      </c>
      <c r="J46" s="345">
        <v>0</v>
      </c>
      <c r="K46" s="345">
        <v>0</v>
      </c>
      <c r="L46" s="345">
        <v>0</v>
      </c>
      <c r="M46" s="345">
        <v>0</v>
      </c>
      <c r="N46" s="345">
        <v>0</v>
      </c>
      <c r="O46" s="345">
        <v>0</v>
      </c>
      <c r="P46" s="348">
        <v>33.218944999999998</v>
      </c>
      <c r="Q46" s="345">
        <v>0</v>
      </c>
      <c r="R46" s="348">
        <v>23.093553</v>
      </c>
      <c r="S46" s="345">
        <v>0</v>
      </c>
      <c r="T46" s="348">
        <v>1905.6943179500001</v>
      </c>
      <c r="U46" s="345">
        <v>0</v>
      </c>
      <c r="V46" s="345">
        <v>0</v>
      </c>
      <c r="W46" s="345">
        <v>0</v>
      </c>
      <c r="X46" s="348">
        <v>91.55104</v>
      </c>
      <c r="Y46" s="345">
        <v>0</v>
      </c>
      <c r="Z46" s="345">
        <v>0</v>
      </c>
      <c r="AA46" s="348">
        <v>1170.414</v>
      </c>
      <c r="AB46" s="345">
        <v>0</v>
      </c>
      <c r="AC46" s="348">
        <v>915.20143927999993</v>
      </c>
      <c r="AD46" s="345">
        <v>0</v>
      </c>
      <c r="AE46" s="345">
        <v>0</v>
      </c>
      <c r="AF46" s="345">
        <v>0</v>
      </c>
      <c r="AG46" s="345">
        <v>0</v>
      </c>
      <c r="AH46" s="345">
        <v>0</v>
      </c>
      <c r="AI46" s="345">
        <v>0</v>
      </c>
      <c r="AJ46" s="345">
        <v>0</v>
      </c>
      <c r="AK46" s="348">
        <v>3.3430219000000001</v>
      </c>
      <c r="AM46">
        <f>SUBTOTAL(9,F46:Y46)</f>
        <v>2053.55785595</v>
      </c>
    </row>
    <row r="47" spans="1:45" hidden="1" x14ac:dyDescent="0.25">
      <c r="A47" s="155">
        <v>1</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s="487">
        <v>0</v>
      </c>
      <c r="AL47">
        <v>0</v>
      </c>
      <c r="AM47">
        <v>0</v>
      </c>
      <c r="AN47">
        <v>0</v>
      </c>
      <c r="AO47">
        <v>0</v>
      </c>
      <c r="AP47">
        <v>0</v>
      </c>
      <c r="AQ47">
        <v>0</v>
      </c>
      <c r="AR47">
        <v>0</v>
      </c>
      <c r="AS47">
        <v>0</v>
      </c>
    </row>
    <row r="48" spans="1:45" hidden="1" x14ac:dyDescent="0.25">
      <c r="A48" s="155" t="s">
        <v>45</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s="487">
        <v>0</v>
      </c>
      <c r="AL48">
        <v>0</v>
      </c>
      <c r="AM48">
        <v>0</v>
      </c>
      <c r="AN48">
        <v>0</v>
      </c>
      <c r="AO48">
        <v>0</v>
      </c>
      <c r="AP48">
        <v>0</v>
      </c>
      <c r="AQ48">
        <v>0</v>
      </c>
      <c r="AR48">
        <v>0</v>
      </c>
      <c r="AS48">
        <v>0</v>
      </c>
    </row>
    <row r="49" spans="1:45" hidden="1" x14ac:dyDescent="0.25">
      <c r="A49" s="284" t="s">
        <v>36</v>
      </c>
      <c r="B49" s="345">
        <v>0</v>
      </c>
      <c r="C49" s="345">
        <v>0</v>
      </c>
      <c r="D49" s="348">
        <v>74.199597510000004</v>
      </c>
      <c r="E49" s="345">
        <v>0</v>
      </c>
      <c r="F49" s="345">
        <v>0</v>
      </c>
      <c r="G49" s="345">
        <v>0</v>
      </c>
      <c r="H49" s="345">
        <v>0</v>
      </c>
      <c r="I49" s="345">
        <v>0</v>
      </c>
      <c r="J49" s="345">
        <v>0</v>
      </c>
      <c r="K49" s="345">
        <v>0</v>
      </c>
      <c r="L49" s="345">
        <v>0</v>
      </c>
      <c r="M49" s="345">
        <v>0</v>
      </c>
      <c r="N49" s="345">
        <v>0</v>
      </c>
      <c r="O49" s="345">
        <v>0</v>
      </c>
      <c r="P49" s="345">
        <v>0</v>
      </c>
      <c r="Q49" s="345">
        <v>0</v>
      </c>
      <c r="R49" s="345">
        <v>0</v>
      </c>
      <c r="S49" s="345">
        <v>0</v>
      </c>
      <c r="T49" s="345">
        <v>0</v>
      </c>
      <c r="U49" s="345">
        <v>0</v>
      </c>
      <c r="V49" s="345">
        <v>0</v>
      </c>
      <c r="W49" s="345">
        <v>0</v>
      </c>
      <c r="X49" s="345">
        <v>0</v>
      </c>
      <c r="Y49" s="345">
        <v>0</v>
      </c>
      <c r="Z49" s="345">
        <v>0</v>
      </c>
      <c r="AA49" s="345">
        <v>0</v>
      </c>
      <c r="AB49" s="345">
        <v>0</v>
      </c>
      <c r="AC49" s="345">
        <v>0</v>
      </c>
      <c r="AD49" s="345">
        <v>0</v>
      </c>
      <c r="AE49" s="345">
        <v>0</v>
      </c>
      <c r="AF49" s="345">
        <v>0</v>
      </c>
      <c r="AG49" s="345">
        <v>0</v>
      </c>
      <c r="AH49" s="345">
        <v>0</v>
      </c>
      <c r="AI49" s="345">
        <v>0</v>
      </c>
      <c r="AJ49" s="345">
        <v>0</v>
      </c>
      <c r="AK49" s="348">
        <v>74.199597510000004</v>
      </c>
      <c r="AL49">
        <v>0</v>
      </c>
      <c r="AM49">
        <v>0</v>
      </c>
      <c r="AN49">
        <v>0</v>
      </c>
      <c r="AO49">
        <v>0</v>
      </c>
      <c r="AP49">
        <v>0</v>
      </c>
      <c r="AQ49">
        <v>0</v>
      </c>
      <c r="AR49">
        <v>0</v>
      </c>
      <c r="AS49">
        <v>0</v>
      </c>
    </row>
    <row r="50" spans="1:45" hidden="1" x14ac:dyDescent="0.25">
      <c r="A50" s="284" t="s">
        <v>37</v>
      </c>
      <c r="B50" s="348">
        <v>70.223304299999995</v>
      </c>
      <c r="C50" s="348">
        <v>70.223304299999995</v>
      </c>
      <c r="D50" s="348">
        <v>2920.8795578499999</v>
      </c>
      <c r="E50" s="348">
        <v>2726.7584754899999</v>
      </c>
      <c r="F50" s="345">
        <v>0</v>
      </c>
      <c r="G50" s="345">
        <v>0</v>
      </c>
      <c r="H50" s="345">
        <v>0</v>
      </c>
      <c r="I50" s="345">
        <v>0</v>
      </c>
      <c r="J50" s="345">
        <v>0</v>
      </c>
      <c r="K50" s="345">
        <v>0</v>
      </c>
      <c r="L50" s="345">
        <v>0</v>
      </c>
      <c r="M50" s="345">
        <v>0</v>
      </c>
      <c r="N50" s="345">
        <v>0</v>
      </c>
      <c r="O50" s="345">
        <v>0</v>
      </c>
      <c r="P50" s="345">
        <v>0</v>
      </c>
      <c r="Q50" s="345">
        <v>0</v>
      </c>
      <c r="R50" s="348">
        <v>23.640725</v>
      </c>
      <c r="S50" s="345">
        <v>0</v>
      </c>
      <c r="T50" s="348">
        <v>2273.0462219999999</v>
      </c>
      <c r="U50" s="348">
        <v>65.723304299999995</v>
      </c>
      <c r="V50" s="345">
        <v>0</v>
      </c>
      <c r="W50" s="345">
        <v>0</v>
      </c>
      <c r="X50" s="348">
        <v>429.763192</v>
      </c>
      <c r="Y50" s="348">
        <v>4.5</v>
      </c>
      <c r="Z50" s="345">
        <v>0</v>
      </c>
      <c r="AA50" s="348">
        <v>1300.952</v>
      </c>
      <c r="AB50" s="348">
        <v>0.30833648999999996</v>
      </c>
      <c r="AC50" s="348">
        <v>1549.70425355</v>
      </c>
      <c r="AD50" s="345">
        <v>0</v>
      </c>
      <c r="AE50" s="345">
        <v>0</v>
      </c>
      <c r="AF50" s="348">
        <v>70.223304299999995</v>
      </c>
      <c r="AG50" s="348">
        <v>70.223304299999995</v>
      </c>
      <c r="AH50" s="345">
        <v>0</v>
      </c>
      <c r="AI50" s="345">
        <v>0</v>
      </c>
      <c r="AJ50" s="345">
        <v>0</v>
      </c>
      <c r="AK50" s="345">
        <v>0</v>
      </c>
      <c r="AL50">
        <v>0</v>
      </c>
      <c r="AM50">
        <v>0</v>
      </c>
      <c r="AN50">
        <v>0</v>
      </c>
      <c r="AO50">
        <v>0</v>
      </c>
      <c r="AP50">
        <v>0</v>
      </c>
      <c r="AQ50">
        <v>0</v>
      </c>
      <c r="AR50">
        <v>0</v>
      </c>
      <c r="AS50">
        <v>0</v>
      </c>
    </row>
    <row r="51" spans="1:45" hidden="1" x14ac:dyDescent="0.25">
      <c r="A51" s="284" t="s">
        <v>38</v>
      </c>
      <c r="B51" s="345">
        <v>0</v>
      </c>
      <c r="C51" s="345">
        <v>0</v>
      </c>
      <c r="D51" s="348">
        <v>268.32067986999999</v>
      </c>
      <c r="E51" s="345">
        <v>0</v>
      </c>
      <c r="F51" s="345">
        <v>0</v>
      </c>
      <c r="G51" s="345">
        <v>0</v>
      </c>
      <c r="H51" s="345">
        <v>0</v>
      </c>
      <c r="I51" s="345">
        <v>0</v>
      </c>
      <c r="J51" s="345">
        <v>0</v>
      </c>
      <c r="K51" s="345">
        <v>0</v>
      </c>
      <c r="L51" s="345">
        <v>0</v>
      </c>
      <c r="M51" s="345">
        <v>0</v>
      </c>
      <c r="N51" s="345">
        <v>0</v>
      </c>
      <c r="O51" s="345">
        <v>0</v>
      </c>
      <c r="P51" s="345">
        <v>0</v>
      </c>
      <c r="Q51" s="345">
        <v>0</v>
      </c>
      <c r="R51" s="348">
        <v>23.640725</v>
      </c>
      <c r="S51" s="345">
        <v>0</v>
      </c>
      <c r="T51" s="348">
        <v>2207.3229176999998</v>
      </c>
      <c r="U51" s="345">
        <v>0</v>
      </c>
      <c r="V51" s="345">
        <v>0</v>
      </c>
      <c r="W51" s="345">
        <v>0</v>
      </c>
      <c r="X51" s="348">
        <v>425.263192</v>
      </c>
      <c r="Y51" s="345">
        <v>0</v>
      </c>
      <c r="Z51" s="345">
        <v>0</v>
      </c>
      <c r="AA51" s="348">
        <v>1300.952</v>
      </c>
      <c r="AB51" s="345">
        <v>0</v>
      </c>
      <c r="AC51" s="348">
        <v>1549.3959170599999</v>
      </c>
      <c r="AD51" s="345">
        <v>0</v>
      </c>
      <c r="AE51" s="345">
        <v>0</v>
      </c>
      <c r="AF51" s="345">
        <v>0</v>
      </c>
      <c r="AG51" s="345">
        <v>0</v>
      </c>
      <c r="AH51" s="345">
        <v>0</v>
      </c>
      <c r="AI51" s="345">
        <v>0</v>
      </c>
      <c r="AJ51" s="345">
        <v>0</v>
      </c>
      <c r="AK51" s="348">
        <v>74.199597510000004</v>
      </c>
      <c r="AL51">
        <v>0</v>
      </c>
      <c r="AM51">
        <v>0</v>
      </c>
      <c r="AN51">
        <v>0</v>
      </c>
      <c r="AO51">
        <v>0</v>
      </c>
      <c r="AP51">
        <v>0</v>
      </c>
      <c r="AQ51">
        <v>0</v>
      </c>
      <c r="AR51">
        <v>0</v>
      </c>
      <c r="AS51">
        <v>0</v>
      </c>
    </row>
    <row r="52" spans="1:45" x14ac:dyDescent="0.25">
      <c r="A52" s="284" t="s">
        <v>39</v>
      </c>
      <c r="B52" s="345">
        <v>0</v>
      </c>
      <c r="C52" s="345">
        <v>0</v>
      </c>
      <c r="D52" s="348">
        <v>268.32067986999999</v>
      </c>
      <c r="E52" s="345">
        <v>0</v>
      </c>
      <c r="F52" s="345">
        <v>0</v>
      </c>
      <c r="G52" s="345">
        <v>0</v>
      </c>
      <c r="H52" s="345">
        <v>0</v>
      </c>
      <c r="I52" s="345">
        <v>0</v>
      </c>
      <c r="J52" s="345">
        <v>0</v>
      </c>
      <c r="K52" s="345">
        <v>0</v>
      </c>
      <c r="L52" s="345">
        <v>0</v>
      </c>
      <c r="M52" s="345">
        <v>0</v>
      </c>
      <c r="N52" s="345">
        <v>0</v>
      </c>
      <c r="O52" s="345">
        <v>0</v>
      </c>
      <c r="P52" s="345">
        <v>0</v>
      </c>
      <c r="Q52" s="345">
        <v>0</v>
      </c>
      <c r="R52" s="348">
        <v>23.640725</v>
      </c>
      <c r="S52" s="345">
        <v>0</v>
      </c>
      <c r="T52" s="348">
        <v>2207.3229176999998</v>
      </c>
      <c r="U52" s="345">
        <v>0</v>
      </c>
      <c r="V52" s="345">
        <v>0</v>
      </c>
      <c r="W52" s="345">
        <v>0</v>
      </c>
      <c r="X52" s="348">
        <v>425.263192</v>
      </c>
      <c r="Y52" s="345">
        <v>0</v>
      </c>
      <c r="Z52" s="345">
        <v>0</v>
      </c>
      <c r="AA52" s="348">
        <v>1300.952</v>
      </c>
      <c r="AB52" s="345">
        <v>0</v>
      </c>
      <c r="AC52" s="348">
        <v>1549.3959170599999</v>
      </c>
      <c r="AD52" s="345">
        <v>0</v>
      </c>
      <c r="AE52" s="345">
        <v>0</v>
      </c>
      <c r="AF52" s="345">
        <v>0</v>
      </c>
      <c r="AG52" s="345">
        <v>0</v>
      </c>
      <c r="AH52" s="345">
        <v>0</v>
      </c>
      <c r="AI52" s="345">
        <v>0</v>
      </c>
      <c r="AJ52" s="345">
        <v>0</v>
      </c>
      <c r="AK52" s="348">
        <v>74.199597510000004</v>
      </c>
      <c r="AM52">
        <f>SUBTOTAL(9,F52:Y52)</f>
        <v>2656.2268346999999</v>
      </c>
    </row>
    <row r="53" spans="1:45" hidden="1" x14ac:dyDescent="0.25">
      <c r="A53" s="155">
        <v>1</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s="487">
        <v>0</v>
      </c>
      <c r="AL53">
        <v>0</v>
      </c>
      <c r="AM53">
        <v>0</v>
      </c>
      <c r="AN53">
        <v>0</v>
      </c>
      <c r="AO53">
        <v>0</v>
      </c>
      <c r="AP53">
        <v>0</v>
      </c>
      <c r="AQ53">
        <v>0</v>
      </c>
      <c r="AR53">
        <v>0</v>
      </c>
      <c r="AS53">
        <v>0</v>
      </c>
    </row>
    <row r="54" spans="1:45" hidden="1" x14ac:dyDescent="0.25">
      <c r="A54" s="155" t="s">
        <v>46</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s="487">
        <v>0</v>
      </c>
      <c r="AL54">
        <v>0</v>
      </c>
      <c r="AM54">
        <v>0</v>
      </c>
      <c r="AN54">
        <v>0</v>
      </c>
      <c r="AO54">
        <v>0</v>
      </c>
      <c r="AP54">
        <v>0</v>
      </c>
      <c r="AQ54">
        <v>0</v>
      </c>
      <c r="AR54">
        <v>0</v>
      </c>
      <c r="AS54">
        <v>0</v>
      </c>
    </row>
    <row r="55" spans="1:45" hidden="1" x14ac:dyDescent="0.25">
      <c r="A55" s="284" t="s">
        <v>36</v>
      </c>
      <c r="B55" s="345">
        <v>0</v>
      </c>
      <c r="C55" s="345">
        <v>0</v>
      </c>
      <c r="D55" s="348">
        <v>213.03487981000001</v>
      </c>
      <c r="E55" s="345">
        <v>0</v>
      </c>
      <c r="F55" s="345">
        <v>0</v>
      </c>
      <c r="G55" s="345">
        <v>0</v>
      </c>
      <c r="H55" s="345">
        <v>0</v>
      </c>
      <c r="I55" s="345">
        <v>0</v>
      </c>
      <c r="J55" s="345">
        <v>0</v>
      </c>
      <c r="K55" s="345">
        <v>0</v>
      </c>
      <c r="L55" s="345">
        <v>0</v>
      </c>
      <c r="M55" s="345">
        <v>0</v>
      </c>
      <c r="N55" s="345">
        <v>0</v>
      </c>
      <c r="O55" s="345">
        <v>0</v>
      </c>
      <c r="P55" s="345">
        <v>0</v>
      </c>
      <c r="Q55" s="345">
        <v>0</v>
      </c>
      <c r="R55" s="345">
        <v>0</v>
      </c>
      <c r="S55" s="345">
        <v>0</v>
      </c>
      <c r="T55" s="345">
        <v>0</v>
      </c>
      <c r="U55" s="345">
        <v>0</v>
      </c>
      <c r="V55" s="345">
        <v>0</v>
      </c>
      <c r="W55" s="345">
        <v>0</v>
      </c>
      <c r="X55" s="345">
        <v>0</v>
      </c>
      <c r="Y55" s="345">
        <v>0</v>
      </c>
      <c r="Z55" s="345">
        <v>0</v>
      </c>
      <c r="AA55" s="345">
        <v>0</v>
      </c>
      <c r="AB55" s="345">
        <v>0</v>
      </c>
      <c r="AC55" s="345">
        <v>0</v>
      </c>
      <c r="AD55" s="345">
        <v>0</v>
      </c>
      <c r="AE55" s="345">
        <v>0</v>
      </c>
      <c r="AF55" s="345">
        <v>0</v>
      </c>
      <c r="AG55" s="345">
        <v>0</v>
      </c>
      <c r="AH55" s="345">
        <v>0</v>
      </c>
      <c r="AI55" s="345">
        <v>0</v>
      </c>
      <c r="AJ55" s="345">
        <v>0</v>
      </c>
      <c r="AK55" s="348">
        <v>213.03487981000001</v>
      </c>
      <c r="AL55">
        <v>0</v>
      </c>
      <c r="AM55">
        <v>0</v>
      </c>
      <c r="AN55">
        <v>0</v>
      </c>
      <c r="AO55">
        <v>0</v>
      </c>
      <c r="AP55">
        <v>0</v>
      </c>
      <c r="AQ55">
        <v>0</v>
      </c>
      <c r="AR55">
        <v>0</v>
      </c>
      <c r="AS55">
        <v>0</v>
      </c>
    </row>
    <row r="56" spans="1:45" hidden="1" x14ac:dyDescent="0.25">
      <c r="A56" s="284" t="s">
        <v>37</v>
      </c>
      <c r="B56" s="348">
        <v>4.1879999999999997</v>
      </c>
      <c r="C56" s="348">
        <v>4.1879999999999997</v>
      </c>
      <c r="D56" s="348">
        <v>2185.2356638000001</v>
      </c>
      <c r="E56" s="348">
        <v>2176.8333895999999</v>
      </c>
      <c r="F56" s="348">
        <v>383.96535699999998</v>
      </c>
      <c r="G56" s="345">
        <v>0</v>
      </c>
      <c r="H56" s="345">
        <v>0</v>
      </c>
      <c r="I56" s="345">
        <v>0</v>
      </c>
      <c r="J56" s="345">
        <v>0</v>
      </c>
      <c r="K56" s="345">
        <v>0</v>
      </c>
      <c r="L56" s="345">
        <v>0</v>
      </c>
      <c r="M56" s="345">
        <v>0</v>
      </c>
      <c r="N56" s="345">
        <v>0</v>
      </c>
      <c r="O56" s="345">
        <v>0</v>
      </c>
      <c r="P56" s="345">
        <v>0</v>
      </c>
      <c r="Q56" s="345">
        <v>0</v>
      </c>
      <c r="R56" s="345">
        <v>0</v>
      </c>
      <c r="S56" s="345">
        <v>0</v>
      </c>
      <c r="T56" s="348">
        <v>1640.4</v>
      </c>
      <c r="U56" s="345">
        <v>0</v>
      </c>
      <c r="V56" s="345">
        <v>0</v>
      </c>
      <c r="W56" s="345">
        <v>0</v>
      </c>
      <c r="X56" s="348">
        <v>151.8004</v>
      </c>
      <c r="Y56" s="348">
        <v>3</v>
      </c>
      <c r="Z56" s="345">
        <v>0</v>
      </c>
      <c r="AA56" s="348">
        <v>1026.5999999999999</v>
      </c>
      <c r="AB56" s="348">
        <v>0.66763260000000002</v>
      </c>
      <c r="AC56" s="348">
        <v>1154.4476637999999</v>
      </c>
      <c r="AD56" s="345">
        <v>0</v>
      </c>
      <c r="AE56" s="348">
        <v>1.1879999999999999</v>
      </c>
      <c r="AF56" s="348">
        <v>4.1879999999999997</v>
      </c>
      <c r="AG56" s="348">
        <v>4.1879999999999997</v>
      </c>
      <c r="AH56" s="345">
        <v>0</v>
      </c>
      <c r="AI56" s="345">
        <v>0</v>
      </c>
      <c r="AJ56" s="345">
        <v>0</v>
      </c>
      <c r="AK56" s="345">
        <v>0</v>
      </c>
      <c r="AL56">
        <v>0</v>
      </c>
      <c r="AM56">
        <v>0</v>
      </c>
      <c r="AN56">
        <v>0</v>
      </c>
      <c r="AO56">
        <v>0</v>
      </c>
      <c r="AP56">
        <v>0</v>
      </c>
      <c r="AQ56">
        <v>0</v>
      </c>
      <c r="AR56">
        <v>0</v>
      </c>
      <c r="AS56">
        <v>0</v>
      </c>
    </row>
    <row r="57" spans="1:45" hidden="1" x14ac:dyDescent="0.25">
      <c r="A57" s="284" t="s">
        <v>38</v>
      </c>
      <c r="B57" s="345">
        <v>0</v>
      </c>
      <c r="C57" s="345">
        <v>0</v>
      </c>
      <c r="D57" s="348">
        <v>221.43715401</v>
      </c>
      <c r="E57" s="345">
        <v>0</v>
      </c>
      <c r="F57" s="348">
        <v>383.96535699999998</v>
      </c>
      <c r="G57" s="345">
        <v>0</v>
      </c>
      <c r="H57" s="345">
        <v>0</v>
      </c>
      <c r="I57" s="345">
        <v>0</v>
      </c>
      <c r="J57" s="345">
        <v>0</v>
      </c>
      <c r="K57" s="345">
        <v>0</v>
      </c>
      <c r="L57" s="345">
        <v>0</v>
      </c>
      <c r="M57" s="345">
        <v>0</v>
      </c>
      <c r="N57" s="345">
        <v>0</v>
      </c>
      <c r="O57" s="345">
        <v>0</v>
      </c>
      <c r="P57" s="345">
        <v>0</v>
      </c>
      <c r="Q57" s="345">
        <v>0</v>
      </c>
      <c r="R57" s="345">
        <v>0</v>
      </c>
      <c r="S57" s="345">
        <v>0</v>
      </c>
      <c r="T57" s="348">
        <v>1640.4</v>
      </c>
      <c r="U57" s="345">
        <v>0</v>
      </c>
      <c r="V57" s="345">
        <v>0</v>
      </c>
      <c r="W57" s="345">
        <v>0</v>
      </c>
      <c r="X57" s="348">
        <v>148.8004</v>
      </c>
      <c r="Y57" s="345">
        <v>0</v>
      </c>
      <c r="Z57" s="345">
        <v>0</v>
      </c>
      <c r="AA57" s="348">
        <v>1026.5999999999999</v>
      </c>
      <c r="AB57" s="345">
        <v>0</v>
      </c>
      <c r="AC57" s="348">
        <v>1153.7800311999999</v>
      </c>
      <c r="AD57" s="345">
        <v>0</v>
      </c>
      <c r="AE57" s="348">
        <v>1.1879999999999999</v>
      </c>
      <c r="AF57" s="345">
        <v>0</v>
      </c>
      <c r="AG57" s="345">
        <v>0</v>
      </c>
      <c r="AH57" s="345">
        <v>0</v>
      </c>
      <c r="AI57" s="345">
        <v>0</v>
      </c>
      <c r="AJ57" s="345">
        <v>0</v>
      </c>
      <c r="AK57" s="348">
        <v>213.03487981000001</v>
      </c>
      <c r="AL57">
        <v>0</v>
      </c>
      <c r="AM57">
        <v>0</v>
      </c>
      <c r="AN57">
        <v>0</v>
      </c>
      <c r="AO57">
        <v>0</v>
      </c>
      <c r="AP57">
        <v>0</v>
      </c>
      <c r="AQ57">
        <v>0</v>
      </c>
      <c r="AR57">
        <v>0</v>
      </c>
      <c r="AS57">
        <v>0</v>
      </c>
    </row>
    <row r="58" spans="1:45" x14ac:dyDescent="0.25">
      <c r="A58" s="284" t="s">
        <v>39</v>
      </c>
      <c r="B58" s="345">
        <v>0</v>
      </c>
      <c r="C58" s="345">
        <v>0</v>
      </c>
      <c r="D58" s="348">
        <v>221.43715401</v>
      </c>
      <c r="E58" s="345">
        <v>0</v>
      </c>
      <c r="F58" s="348">
        <v>383.96535699999998</v>
      </c>
      <c r="G58" s="345">
        <v>0</v>
      </c>
      <c r="H58" s="345">
        <v>0</v>
      </c>
      <c r="I58" s="345">
        <v>0</v>
      </c>
      <c r="J58" s="345">
        <v>0</v>
      </c>
      <c r="K58" s="345">
        <v>0</v>
      </c>
      <c r="L58" s="345">
        <v>0</v>
      </c>
      <c r="M58" s="345">
        <v>0</v>
      </c>
      <c r="N58" s="345">
        <v>0</v>
      </c>
      <c r="O58" s="345">
        <v>0</v>
      </c>
      <c r="P58" s="345">
        <v>0</v>
      </c>
      <c r="Q58" s="345">
        <v>0</v>
      </c>
      <c r="R58" s="345">
        <v>0</v>
      </c>
      <c r="S58" s="345">
        <v>0</v>
      </c>
      <c r="T58" s="348">
        <v>1640.4</v>
      </c>
      <c r="U58" s="345">
        <v>0</v>
      </c>
      <c r="V58" s="345">
        <v>0</v>
      </c>
      <c r="W58" s="345">
        <v>0</v>
      </c>
      <c r="X58" s="348">
        <v>148.8004</v>
      </c>
      <c r="Y58" s="345">
        <v>0</v>
      </c>
      <c r="Z58" s="345">
        <v>0</v>
      </c>
      <c r="AA58" s="348">
        <v>1026.5999999999999</v>
      </c>
      <c r="AB58" s="345">
        <v>0</v>
      </c>
      <c r="AC58" s="348">
        <v>1153.7800311999999</v>
      </c>
      <c r="AD58" s="345">
        <v>0</v>
      </c>
      <c r="AE58" s="348">
        <v>1.1879999999999999</v>
      </c>
      <c r="AF58" s="345">
        <v>0</v>
      </c>
      <c r="AG58" s="345">
        <v>0</v>
      </c>
      <c r="AH58" s="345">
        <v>0</v>
      </c>
      <c r="AI58" s="345">
        <v>0</v>
      </c>
      <c r="AJ58" s="345">
        <v>0</v>
      </c>
      <c r="AK58" s="348">
        <v>213.03487981000001</v>
      </c>
      <c r="AM58">
        <f>SUBTOTAL(9,F58:Y58)</f>
        <v>2173.1657570000002</v>
      </c>
    </row>
    <row r="59" spans="1:45" hidden="1" x14ac:dyDescent="0.25">
      <c r="A59" s="155">
        <v>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s="487">
        <v>0</v>
      </c>
      <c r="AL59">
        <v>0</v>
      </c>
      <c r="AM59">
        <v>0</v>
      </c>
      <c r="AN59">
        <v>0</v>
      </c>
      <c r="AO59">
        <v>0</v>
      </c>
      <c r="AP59">
        <v>0</v>
      </c>
      <c r="AQ59">
        <v>0</v>
      </c>
      <c r="AR59">
        <v>0</v>
      </c>
      <c r="AS59">
        <v>0</v>
      </c>
    </row>
    <row r="60" spans="1:45" hidden="1" x14ac:dyDescent="0.25">
      <c r="A60" s="155" t="s">
        <v>47</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s="487">
        <v>0</v>
      </c>
      <c r="AL60">
        <v>0</v>
      </c>
      <c r="AM60">
        <v>0</v>
      </c>
      <c r="AN60">
        <v>0</v>
      </c>
      <c r="AO60">
        <v>0</v>
      </c>
      <c r="AP60">
        <v>0</v>
      </c>
      <c r="AQ60">
        <v>0</v>
      </c>
      <c r="AR60">
        <v>0</v>
      </c>
      <c r="AS60">
        <v>0</v>
      </c>
    </row>
    <row r="61" spans="1:45" hidden="1" x14ac:dyDescent="0.25">
      <c r="A61" s="284" t="s">
        <v>36</v>
      </c>
      <c r="B61" s="345">
        <v>0</v>
      </c>
      <c r="C61" s="345">
        <v>0</v>
      </c>
      <c r="D61" s="348">
        <v>1040.8889717500001</v>
      </c>
      <c r="E61" s="345">
        <v>0</v>
      </c>
      <c r="F61" s="345">
        <v>0</v>
      </c>
      <c r="G61" s="345">
        <v>0</v>
      </c>
      <c r="H61" s="345">
        <v>0</v>
      </c>
      <c r="I61" s="345">
        <v>0</v>
      </c>
      <c r="J61" s="345">
        <v>0</v>
      </c>
      <c r="K61" s="345">
        <v>0</v>
      </c>
      <c r="L61" s="345">
        <v>0</v>
      </c>
      <c r="M61" s="345">
        <v>0</v>
      </c>
      <c r="N61" s="345">
        <v>0</v>
      </c>
      <c r="O61" s="345">
        <v>0</v>
      </c>
      <c r="P61" s="345">
        <v>0</v>
      </c>
      <c r="Q61" s="345">
        <v>0</v>
      </c>
      <c r="R61" s="345">
        <v>0</v>
      </c>
      <c r="S61" s="345">
        <v>0</v>
      </c>
      <c r="T61" s="345">
        <v>0</v>
      </c>
      <c r="U61" s="345">
        <v>0</v>
      </c>
      <c r="V61" s="345">
        <v>0</v>
      </c>
      <c r="W61" s="345">
        <v>0</v>
      </c>
      <c r="X61" s="345">
        <v>0</v>
      </c>
      <c r="Y61" s="345">
        <v>0</v>
      </c>
      <c r="Z61" s="345">
        <v>0</v>
      </c>
      <c r="AA61" s="345">
        <v>0</v>
      </c>
      <c r="AB61" s="345">
        <v>0</v>
      </c>
      <c r="AC61" s="345">
        <v>0</v>
      </c>
      <c r="AD61" s="345">
        <v>0</v>
      </c>
      <c r="AE61" s="345">
        <v>0</v>
      </c>
      <c r="AF61" s="345">
        <v>0</v>
      </c>
      <c r="AG61" s="345">
        <v>0</v>
      </c>
      <c r="AH61" s="345">
        <v>0</v>
      </c>
      <c r="AI61" s="345">
        <v>0</v>
      </c>
      <c r="AJ61" s="345">
        <v>0</v>
      </c>
      <c r="AK61" s="348">
        <v>1040.8889717500001</v>
      </c>
      <c r="AL61">
        <v>0</v>
      </c>
      <c r="AM61">
        <v>0</v>
      </c>
      <c r="AN61">
        <v>0</v>
      </c>
      <c r="AO61">
        <v>0</v>
      </c>
      <c r="AP61">
        <v>0</v>
      </c>
      <c r="AQ61">
        <v>0</v>
      </c>
      <c r="AR61">
        <v>0</v>
      </c>
      <c r="AS61">
        <v>0</v>
      </c>
    </row>
    <row r="62" spans="1:45" hidden="1" x14ac:dyDescent="0.25">
      <c r="A62" s="284" t="s">
        <v>37</v>
      </c>
      <c r="B62" s="348">
        <v>1171.1024890000001</v>
      </c>
      <c r="C62" s="348">
        <v>1171.1024890000001</v>
      </c>
      <c r="D62" s="348">
        <v>2258.0842430399998</v>
      </c>
      <c r="E62" s="348">
        <v>2436.7656000000002</v>
      </c>
      <c r="F62" s="345">
        <v>0</v>
      </c>
      <c r="G62" s="345">
        <v>0</v>
      </c>
      <c r="H62" s="348">
        <v>111.72499999999999</v>
      </c>
      <c r="I62" s="348">
        <v>0.5</v>
      </c>
      <c r="J62" s="345">
        <v>0</v>
      </c>
      <c r="K62" s="345">
        <v>0</v>
      </c>
      <c r="L62" s="345">
        <v>0</v>
      </c>
      <c r="M62" s="345">
        <v>0</v>
      </c>
      <c r="N62" s="348">
        <v>30.630600000000001</v>
      </c>
      <c r="O62" s="345">
        <v>0</v>
      </c>
      <c r="P62" s="345">
        <v>0</v>
      </c>
      <c r="Q62" s="345">
        <v>0</v>
      </c>
      <c r="R62" s="348">
        <v>2.2999999999999998</v>
      </c>
      <c r="S62" s="345">
        <v>0</v>
      </c>
      <c r="T62" s="348">
        <v>2193.06</v>
      </c>
      <c r="U62" s="348">
        <v>62.602488999999998</v>
      </c>
      <c r="V62" s="345">
        <v>0</v>
      </c>
      <c r="W62" s="345">
        <v>0</v>
      </c>
      <c r="X62" s="348">
        <v>99.05</v>
      </c>
      <c r="Y62" s="345">
        <v>0</v>
      </c>
      <c r="Z62" s="345">
        <v>0</v>
      </c>
      <c r="AA62" s="348">
        <v>1108</v>
      </c>
      <c r="AB62" s="345">
        <v>0</v>
      </c>
      <c r="AC62" s="348">
        <v>1086.9817540399999</v>
      </c>
      <c r="AD62" s="345">
        <v>0</v>
      </c>
      <c r="AE62" s="345">
        <v>0</v>
      </c>
      <c r="AF62" s="348">
        <v>1171.1024890000001</v>
      </c>
      <c r="AG62" s="348">
        <v>1171.1024890000001</v>
      </c>
      <c r="AH62" s="345">
        <v>0</v>
      </c>
      <c r="AI62" s="345">
        <v>0</v>
      </c>
      <c r="AJ62" s="345">
        <v>0</v>
      </c>
      <c r="AK62" s="345">
        <v>0</v>
      </c>
      <c r="AL62">
        <v>0</v>
      </c>
      <c r="AM62">
        <v>0</v>
      </c>
      <c r="AN62">
        <v>0</v>
      </c>
      <c r="AO62">
        <v>0</v>
      </c>
      <c r="AP62">
        <v>0</v>
      </c>
      <c r="AQ62">
        <v>0</v>
      </c>
      <c r="AR62">
        <v>0</v>
      </c>
      <c r="AS62">
        <v>0</v>
      </c>
    </row>
    <row r="63" spans="1:45" hidden="1" x14ac:dyDescent="0.25">
      <c r="A63" s="284" t="s">
        <v>38</v>
      </c>
      <c r="B63" s="345">
        <v>0</v>
      </c>
      <c r="C63" s="345">
        <v>0</v>
      </c>
      <c r="D63" s="348">
        <v>862.20761478999998</v>
      </c>
      <c r="E63" s="345">
        <v>0</v>
      </c>
      <c r="F63" s="345">
        <v>0</v>
      </c>
      <c r="G63" s="345">
        <v>0</v>
      </c>
      <c r="H63" s="348">
        <v>111.22499999999999</v>
      </c>
      <c r="I63" s="345">
        <v>0</v>
      </c>
      <c r="J63" s="345">
        <v>0</v>
      </c>
      <c r="K63" s="345">
        <v>0</v>
      </c>
      <c r="L63" s="345">
        <v>0</v>
      </c>
      <c r="M63" s="345">
        <v>0</v>
      </c>
      <c r="N63" s="348">
        <v>30.630600000000001</v>
      </c>
      <c r="O63" s="345">
        <v>0</v>
      </c>
      <c r="P63" s="345">
        <v>0</v>
      </c>
      <c r="Q63" s="345">
        <v>0</v>
      </c>
      <c r="R63" s="348">
        <v>2.2999999999999998</v>
      </c>
      <c r="S63" s="345">
        <v>0</v>
      </c>
      <c r="T63" s="348">
        <v>2130.4575110000001</v>
      </c>
      <c r="U63" s="345">
        <v>0</v>
      </c>
      <c r="V63" s="345">
        <v>0</v>
      </c>
      <c r="W63" s="345">
        <v>0</v>
      </c>
      <c r="X63" s="348">
        <v>99.05</v>
      </c>
      <c r="Y63" s="345">
        <v>0</v>
      </c>
      <c r="Z63" s="345">
        <v>0</v>
      </c>
      <c r="AA63" s="348">
        <v>1108</v>
      </c>
      <c r="AB63" s="345">
        <v>0</v>
      </c>
      <c r="AC63" s="348">
        <v>1086.9817540399999</v>
      </c>
      <c r="AD63" s="345">
        <v>0</v>
      </c>
      <c r="AE63" s="345">
        <v>0</v>
      </c>
      <c r="AF63" s="345">
        <v>0</v>
      </c>
      <c r="AG63" s="345">
        <v>0</v>
      </c>
      <c r="AH63" s="345">
        <v>0</v>
      </c>
      <c r="AI63" s="345">
        <v>0</v>
      </c>
      <c r="AJ63" s="345">
        <v>0</v>
      </c>
      <c r="AK63" s="348">
        <v>1040.8889717500001</v>
      </c>
      <c r="AL63">
        <v>0</v>
      </c>
      <c r="AM63">
        <v>0</v>
      </c>
      <c r="AN63">
        <v>0</v>
      </c>
      <c r="AO63">
        <v>0</v>
      </c>
      <c r="AP63">
        <v>0</v>
      </c>
      <c r="AQ63">
        <v>0</v>
      </c>
      <c r="AR63">
        <v>0</v>
      </c>
      <c r="AS63">
        <v>0</v>
      </c>
    </row>
    <row r="64" spans="1:45" x14ac:dyDescent="0.25">
      <c r="A64" s="284" t="s">
        <v>39</v>
      </c>
      <c r="B64" s="345">
        <v>0</v>
      </c>
      <c r="C64" s="345">
        <v>0</v>
      </c>
      <c r="D64" s="348">
        <v>862.20761478999998</v>
      </c>
      <c r="E64" s="345">
        <v>0</v>
      </c>
      <c r="F64" s="345">
        <v>0</v>
      </c>
      <c r="G64" s="345">
        <v>0</v>
      </c>
      <c r="H64" s="348">
        <v>111.22499999999999</v>
      </c>
      <c r="I64" s="345">
        <v>0</v>
      </c>
      <c r="J64" s="345">
        <v>0</v>
      </c>
      <c r="K64" s="345">
        <v>0</v>
      </c>
      <c r="L64" s="345">
        <v>0</v>
      </c>
      <c r="M64" s="345">
        <v>0</v>
      </c>
      <c r="N64" s="348">
        <v>30.630600000000001</v>
      </c>
      <c r="O64" s="345">
        <v>0</v>
      </c>
      <c r="P64" s="345">
        <v>0</v>
      </c>
      <c r="Q64" s="345">
        <v>0</v>
      </c>
      <c r="R64" s="348">
        <v>2.2999999999999998</v>
      </c>
      <c r="S64" s="345">
        <v>0</v>
      </c>
      <c r="T64" s="348">
        <v>2130.4575110000001</v>
      </c>
      <c r="U64" s="345">
        <v>0</v>
      </c>
      <c r="V64" s="345">
        <v>0</v>
      </c>
      <c r="W64" s="345">
        <v>0</v>
      </c>
      <c r="X64" s="348">
        <v>99.05</v>
      </c>
      <c r="Y64" s="345">
        <v>0</v>
      </c>
      <c r="Z64" s="345">
        <v>0</v>
      </c>
      <c r="AA64" s="348">
        <v>1108</v>
      </c>
      <c r="AB64" s="345">
        <v>0</v>
      </c>
      <c r="AC64" s="348">
        <v>1086.9817540399999</v>
      </c>
      <c r="AD64" s="345">
        <v>0</v>
      </c>
      <c r="AE64" s="345">
        <v>0</v>
      </c>
      <c r="AF64" s="345">
        <v>0</v>
      </c>
      <c r="AG64" s="345">
        <v>0</v>
      </c>
      <c r="AH64" s="345">
        <v>0</v>
      </c>
      <c r="AI64" s="345">
        <v>0</v>
      </c>
      <c r="AJ64" s="345">
        <v>0</v>
      </c>
      <c r="AK64" s="348">
        <v>1040.8889717500001</v>
      </c>
      <c r="AM64">
        <f>SUBTOTAL(9,F64:Y64)</f>
        <v>2373.6631110000003</v>
      </c>
    </row>
    <row r="65" spans="1:45" hidden="1" x14ac:dyDescent="0.25">
      <c r="A65" s="155">
        <v>1</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s="487">
        <v>0</v>
      </c>
      <c r="AL65">
        <v>0</v>
      </c>
      <c r="AM65">
        <v>0</v>
      </c>
      <c r="AN65">
        <v>0</v>
      </c>
      <c r="AO65">
        <v>0</v>
      </c>
      <c r="AP65">
        <v>0</v>
      </c>
      <c r="AQ65">
        <v>0</v>
      </c>
      <c r="AR65">
        <v>0</v>
      </c>
      <c r="AS65">
        <v>0</v>
      </c>
    </row>
    <row r="66" spans="1:45" hidden="1" x14ac:dyDescent="0.25">
      <c r="A66" s="155" t="s">
        <v>48</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s="487">
        <v>0</v>
      </c>
      <c r="AL66">
        <v>0</v>
      </c>
      <c r="AM66">
        <v>0</v>
      </c>
      <c r="AN66">
        <v>0</v>
      </c>
      <c r="AO66">
        <v>0</v>
      </c>
      <c r="AP66">
        <v>0</v>
      </c>
      <c r="AQ66">
        <v>0</v>
      </c>
      <c r="AR66">
        <v>0</v>
      </c>
      <c r="AS66">
        <v>0</v>
      </c>
    </row>
    <row r="67" spans="1:45" hidden="1" x14ac:dyDescent="0.25">
      <c r="A67" s="284" t="s">
        <v>36</v>
      </c>
      <c r="B67" s="345">
        <v>0</v>
      </c>
      <c r="C67" s="345">
        <v>0</v>
      </c>
      <c r="D67" s="348">
        <v>6.5324479200000001</v>
      </c>
      <c r="E67" s="345">
        <v>0</v>
      </c>
      <c r="F67" s="345">
        <v>0</v>
      </c>
      <c r="G67" s="345">
        <v>0</v>
      </c>
      <c r="H67" s="345">
        <v>0</v>
      </c>
      <c r="I67" s="345">
        <v>0</v>
      </c>
      <c r="J67" s="345">
        <v>0</v>
      </c>
      <c r="K67" s="345">
        <v>0</v>
      </c>
      <c r="L67" s="345">
        <v>0</v>
      </c>
      <c r="M67" s="345">
        <v>0</v>
      </c>
      <c r="N67" s="345">
        <v>0</v>
      </c>
      <c r="O67" s="345">
        <v>0</v>
      </c>
      <c r="P67" s="345">
        <v>0</v>
      </c>
      <c r="Q67" s="345">
        <v>0</v>
      </c>
      <c r="R67" s="345">
        <v>0</v>
      </c>
      <c r="S67" s="345">
        <v>0</v>
      </c>
      <c r="T67" s="345">
        <v>0</v>
      </c>
      <c r="U67" s="345">
        <v>0</v>
      </c>
      <c r="V67" s="345">
        <v>0</v>
      </c>
      <c r="W67" s="345">
        <v>0</v>
      </c>
      <c r="X67" s="345">
        <v>0</v>
      </c>
      <c r="Y67" s="345">
        <v>0</v>
      </c>
      <c r="Z67" s="345">
        <v>0</v>
      </c>
      <c r="AA67" s="345">
        <v>0</v>
      </c>
      <c r="AB67" s="345">
        <v>0</v>
      </c>
      <c r="AC67" s="345">
        <v>0</v>
      </c>
      <c r="AD67" s="345">
        <v>0</v>
      </c>
      <c r="AE67" s="345">
        <v>0</v>
      </c>
      <c r="AF67" s="345">
        <v>0</v>
      </c>
      <c r="AG67" s="345">
        <v>0</v>
      </c>
      <c r="AH67" s="345">
        <v>0</v>
      </c>
      <c r="AI67" s="345">
        <v>0</v>
      </c>
      <c r="AJ67" s="345">
        <v>0</v>
      </c>
      <c r="AK67" s="348">
        <v>6.5324479200000001</v>
      </c>
      <c r="AL67">
        <v>0</v>
      </c>
      <c r="AM67">
        <v>0</v>
      </c>
      <c r="AN67">
        <v>0</v>
      </c>
      <c r="AO67">
        <v>0</v>
      </c>
      <c r="AP67">
        <v>0</v>
      </c>
      <c r="AQ67">
        <v>0</v>
      </c>
      <c r="AR67">
        <v>0</v>
      </c>
      <c r="AS67">
        <v>0</v>
      </c>
    </row>
    <row r="68" spans="1:45" hidden="1" x14ac:dyDescent="0.25">
      <c r="A68" s="284" t="s">
        <v>37</v>
      </c>
      <c r="B68" s="348">
        <v>0.28763</v>
      </c>
      <c r="C68" s="348">
        <v>0.28763</v>
      </c>
      <c r="D68" s="348">
        <v>1925.5378335</v>
      </c>
      <c r="E68" s="348">
        <v>1913.6375740599999</v>
      </c>
      <c r="F68" s="345">
        <v>0</v>
      </c>
      <c r="G68" s="345">
        <v>0</v>
      </c>
      <c r="H68" s="345">
        <v>0</v>
      </c>
      <c r="I68" s="345">
        <v>0</v>
      </c>
      <c r="J68" s="345">
        <v>0</v>
      </c>
      <c r="K68" s="345">
        <v>0</v>
      </c>
      <c r="L68" s="345">
        <v>0</v>
      </c>
      <c r="M68" s="345">
        <v>0</v>
      </c>
      <c r="N68" s="345">
        <v>0</v>
      </c>
      <c r="O68" s="345">
        <v>0</v>
      </c>
      <c r="P68" s="345">
        <v>0</v>
      </c>
      <c r="Q68" s="345">
        <v>0</v>
      </c>
      <c r="R68" s="345">
        <v>0</v>
      </c>
      <c r="S68" s="345">
        <v>0</v>
      </c>
      <c r="T68" s="348">
        <v>1859.4939999999999</v>
      </c>
      <c r="U68" s="348">
        <v>0.28763</v>
      </c>
      <c r="V68" s="345">
        <v>0</v>
      </c>
      <c r="W68" s="345">
        <v>0</v>
      </c>
      <c r="X68" s="348">
        <v>52.7</v>
      </c>
      <c r="Y68" s="345">
        <v>0</v>
      </c>
      <c r="Z68" s="345">
        <v>0</v>
      </c>
      <c r="AA68" s="348">
        <v>1092</v>
      </c>
      <c r="AB68" s="348">
        <v>1.44357406</v>
      </c>
      <c r="AC68" s="348">
        <v>833.2502035</v>
      </c>
      <c r="AD68" s="345">
        <v>0</v>
      </c>
      <c r="AE68" s="345">
        <v>0</v>
      </c>
      <c r="AF68" s="348">
        <v>0.28763</v>
      </c>
      <c r="AG68" s="348">
        <v>0.28763</v>
      </c>
      <c r="AH68" s="348">
        <v>486.42</v>
      </c>
      <c r="AI68" s="348">
        <v>486.42</v>
      </c>
      <c r="AJ68" s="345">
        <v>0</v>
      </c>
      <c r="AK68" s="345">
        <v>0</v>
      </c>
      <c r="AL68">
        <v>0</v>
      </c>
      <c r="AM68">
        <v>0</v>
      </c>
      <c r="AN68">
        <v>0</v>
      </c>
      <c r="AO68">
        <v>0</v>
      </c>
      <c r="AP68">
        <v>0</v>
      </c>
      <c r="AQ68">
        <v>0</v>
      </c>
      <c r="AR68">
        <v>0</v>
      </c>
      <c r="AS68">
        <v>0</v>
      </c>
    </row>
    <row r="69" spans="1:45" hidden="1" x14ac:dyDescent="0.25">
      <c r="A69" s="284" t="s">
        <v>38</v>
      </c>
      <c r="B69" s="345">
        <v>0</v>
      </c>
      <c r="C69" s="345">
        <v>0</v>
      </c>
      <c r="D69" s="348">
        <v>18.432707359999998</v>
      </c>
      <c r="E69" s="345">
        <v>0</v>
      </c>
      <c r="F69" s="345">
        <v>0</v>
      </c>
      <c r="G69" s="345">
        <v>0</v>
      </c>
      <c r="H69" s="345">
        <v>0</v>
      </c>
      <c r="I69" s="345">
        <v>0</v>
      </c>
      <c r="J69" s="345">
        <v>0</v>
      </c>
      <c r="K69" s="345">
        <v>0</v>
      </c>
      <c r="L69" s="345">
        <v>0</v>
      </c>
      <c r="M69" s="345">
        <v>0</v>
      </c>
      <c r="N69" s="345">
        <v>0</v>
      </c>
      <c r="O69" s="345">
        <v>0</v>
      </c>
      <c r="P69" s="345">
        <v>0</v>
      </c>
      <c r="Q69" s="345">
        <v>0</v>
      </c>
      <c r="R69" s="345">
        <v>0</v>
      </c>
      <c r="S69" s="345">
        <v>0</v>
      </c>
      <c r="T69" s="348">
        <v>1859.2063700000001</v>
      </c>
      <c r="U69" s="345">
        <v>0</v>
      </c>
      <c r="V69" s="345">
        <v>0</v>
      </c>
      <c r="W69" s="345">
        <v>0</v>
      </c>
      <c r="X69" s="348">
        <v>52.7</v>
      </c>
      <c r="Y69" s="345">
        <v>0</v>
      </c>
      <c r="Z69" s="345">
        <v>0</v>
      </c>
      <c r="AA69" s="348">
        <v>1092</v>
      </c>
      <c r="AB69" s="345">
        <v>0</v>
      </c>
      <c r="AC69" s="348">
        <v>831.80662944000005</v>
      </c>
      <c r="AD69" s="345">
        <v>0</v>
      </c>
      <c r="AE69" s="345">
        <v>0</v>
      </c>
      <c r="AF69" s="345">
        <v>0</v>
      </c>
      <c r="AG69" s="345">
        <v>0</v>
      </c>
      <c r="AH69" s="345">
        <v>0</v>
      </c>
      <c r="AI69" s="345">
        <v>0</v>
      </c>
      <c r="AJ69" s="345">
        <v>0</v>
      </c>
      <c r="AK69" s="348">
        <v>6.5324479200000001</v>
      </c>
      <c r="AL69">
        <v>0</v>
      </c>
      <c r="AM69">
        <v>0</v>
      </c>
      <c r="AN69">
        <v>0</v>
      </c>
      <c r="AO69">
        <v>0</v>
      </c>
      <c r="AP69">
        <v>0</v>
      </c>
      <c r="AQ69">
        <v>0</v>
      </c>
      <c r="AR69">
        <v>0</v>
      </c>
      <c r="AS69">
        <v>0</v>
      </c>
    </row>
    <row r="70" spans="1:45" x14ac:dyDescent="0.25">
      <c r="A70" s="284" t="s">
        <v>39</v>
      </c>
      <c r="B70" s="345">
        <v>0</v>
      </c>
      <c r="C70" s="345">
        <v>0</v>
      </c>
      <c r="D70" s="348">
        <v>18.432707359999998</v>
      </c>
      <c r="E70" s="345">
        <v>0</v>
      </c>
      <c r="F70" s="345">
        <v>0</v>
      </c>
      <c r="G70" s="345">
        <v>0</v>
      </c>
      <c r="H70" s="345">
        <v>0</v>
      </c>
      <c r="I70" s="345">
        <v>0</v>
      </c>
      <c r="J70" s="345">
        <v>0</v>
      </c>
      <c r="K70" s="345">
        <v>0</v>
      </c>
      <c r="L70" s="345">
        <v>0</v>
      </c>
      <c r="M70" s="345">
        <v>0</v>
      </c>
      <c r="N70" s="345">
        <v>0</v>
      </c>
      <c r="O70" s="345">
        <v>0</v>
      </c>
      <c r="P70" s="345">
        <v>0</v>
      </c>
      <c r="Q70" s="345">
        <v>0</v>
      </c>
      <c r="R70" s="345">
        <v>0</v>
      </c>
      <c r="S70" s="345">
        <v>0</v>
      </c>
      <c r="T70" s="348">
        <v>1859.2063700000001</v>
      </c>
      <c r="U70" s="345">
        <v>0</v>
      </c>
      <c r="V70" s="345">
        <v>0</v>
      </c>
      <c r="W70" s="345">
        <v>0</v>
      </c>
      <c r="X70" s="348">
        <v>52.7</v>
      </c>
      <c r="Y70" s="345">
        <v>0</v>
      </c>
      <c r="Z70" s="345">
        <v>0</v>
      </c>
      <c r="AA70" s="348">
        <v>1092</v>
      </c>
      <c r="AB70" s="345">
        <v>0</v>
      </c>
      <c r="AC70" s="348">
        <v>831.80662944000005</v>
      </c>
      <c r="AD70" s="345">
        <v>0</v>
      </c>
      <c r="AE70" s="345">
        <v>0</v>
      </c>
      <c r="AF70" s="345">
        <v>0</v>
      </c>
      <c r="AG70" s="345">
        <v>0</v>
      </c>
      <c r="AH70" s="345">
        <v>0</v>
      </c>
      <c r="AI70" s="345">
        <v>0</v>
      </c>
      <c r="AJ70" s="345">
        <v>0</v>
      </c>
      <c r="AK70" s="348">
        <v>6.5324479200000001</v>
      </c>
      <c r="AM70">
        <f>SUBTOTAL(9,F70:Y70)</f>
        <v>1911.9063700000002</v>
      </c>
    </row>
    <row r="71" spans="1:45" hidden="1" x14ac:dyDescent="0.25">
      <c r="A71" s="155">
        <v>1</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s="487">
        <v>0</v>
      </c>
      <c r="AL71">
        <v>0</v>
      </c>
      <c r="AM71">
        <v>0</v>
      </c>
      <c r="AN71">
        <v>0</v>
      </c>
      <c r="AO71">
        <v>0</v>
      </c>
      <c r="AP71">
        <v>0</v>
      </c>
      <c r="AQ71">
        <v>0</v>
      </c>
      <c r="AR71">
        <v>0</v>
      </c>
      <c r="AS71">
        <v>0</v>
      </c>
    </row>
    <row r="72" spans="1:45" hidden="1" x14ac:dyDescent="0.25">
      <c r="A72" s="155" t="s">
        <v>49</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s="487">
        <v>0</v>
      </c>
      <c r="AL72">
        <v>0</v>
      </c>
      <c r="AM72">
        <v>0</v>
      </c>
      <c r="AN72">
        <v>0</v>
      </c>
      <c r="AO72">
        <v>0</v>
      </c>
      <c r="AP72">
        <v>0</v>
      </c>
      <c r="AQ72">
        <v>0</v>
      </c>
      <c r="AR72">
        <v>0</v>
      </c>
      <c r="AS72">
        <v>0</v>
      </c>
    </row>
    <row r="73" spans="1:45" hidden="1" x14ac:dyDescent="0.25">
      <c r="A73" s="284" t="s">
        <v>36</v>
      </c>
      <c r="B73" s="345">
        <v>0</v>
      </c>
      <c r="C73" s="345">
        <v>0</v>
      </c>
      <c r="D73" s="348">
        <v>9.9165601500000005</v>
      </c>
      <c r="E73" s="345">
        <v>0</v>
      </c>
      <c r="F73" s="345">
        <v>0</v>
      </c>
      <c r="G73" s="345">
        <v>0</v>
      </c>
      <c r="H73" s="345">
        <v>0</v>
      </c>
      <c r="I73" s="345">
        <v>0</v>
      </c>
      <c r="J73" s="345">
        <v>0</v>
      </c>
      <c r="K73" s="345">
        <v>0</v>
      </c>
      <c r="L73" s="345">
        <v>0</v>
      </c>
      <c r="M73" s="345">
        <v>0</v>
      </c>
      <c r="N73" s="345">
        <v>0</v>
      </c>
      <c r="O73" s="345">
        <v>0</v>
      </c>
      <c r="P73" s="345">
        <v>0</v>
      </c>
      <c r="Q73" s="345">
        <v>0</v>
      </c>
      <c r="R73" s="345">
        <v>0</v>
      </c>
      <c r="S73" s="345">
        <v>0</v>
      </c>
      <c r="T73" s="345">
        <v>0</v>
      </c>
      <c r="U73" s="345">
        <v>0</v>
      </c>
      <c r="V73" s="345">
        <v>0</v>
      </c>
      <c r="W73" s="345">
        <v>0</v>
      </c>
      <c r="X73" s="345">
        <v>0</v>
      </c>
      <c r="Y73" s="345">
        <v>0</v>
      </c>
      <c r="Z73" s="345">
        <v>0</v>
      </c>
      <c r="AA73" s="345">
        <v>0</v>
      </c>
      <c r="AB73" s="345">
        <v>0</v>
      </c>
      <c r="AC73" s="345">
        <v>0</v>
      </c>
      <c r="AD73" s="345">
        <v>0</v>
      </c>
      <c r="AE73" s="345">
        <v>0</v>
      </c>
      <c r="AF73" s="345">
        <v>0</v>
      </c>
      <c r="AG73" s="345">
        <v>0</v>
      </c>
      <c r="AH73" s="345">
        <v>0</v>
      </c>
      <c r="AI73" s="345">
        <v>0</v>
      </c>
      <c r="AJ73" s="345">
        <v>0</v>
      </c>
      <c r="AK73" s="348">
        <v>9.9165601500000005</v>
      </c>
      <c r="AL73">
        <v>0</v>
      </c>
      <c r="AM73">
        <v>0</v>
      </c>
      <c r="AN73">
        <v>0</v>
      </c>
      <c r="AO73">
        <v>0</v>
      </c>
      <c r="AP73">
        <v>0</v>
      </c>
      <c r="AQ73">
        <v>0</v>
      </c>
      <c r="AR73">
        <v>0</v>
      </c>
      <c r="AS73">
        <v>0</v>
      </c>
    </row>
    <row r="74" spans="1:45" hidden="1" x14ac:dyDescent="0.25">
      <c r="A74" s="284" t="s">
        <v>37</v>
      </c>
      <c r="B74" s="348">
        <v>1010.432</v>
      </c>
      <c r="C74" s="348">
        <v>1010.432</v>
      </c>
      <c r="D74" s="348">
        <v>1970.23330317</v>
      </c>
      <c r="E74" s="348">
        <v>1951.30817701</v>
      </c>
      <c r="F74" s="345">
        <v>0</v>
      </c>
      <c r="G74" s="345">
        <v>0</v>
      </c>
      <c r="H74" s="345">
        <v>0</v>
      </c>
      <c r="I74" s="345">
        <v>0</v>
      </c>
      <c r="J74" s="348">
        <v>9.7550000000000008</v>
      </c>
      <c r="K74" s="345">
        <v>0</v>
      </c>
      <c r="L74" s="345">
        <v>0</v>
      </c>
      <c r="M74" s="345">
        <v>0</v>
      </c>
      <c r="N74" s="345">
        <v>0</v>
      </c>
      <c r="O74" s="345">
        <v>0</v>
      </c>
      <c r="P74" s="345">
        <v>0</v>
      </c>
      <c r="Q74" s="345">
        <v>0</v>
      </c>
      <c r="R74" s="345">
        <v>0</v>
      </c>
      <c r="S74" s="345">
        <v>0</v>
      </c>
      <c r="T74" s="348">
        <v>1228.7863400000001</v>
      </c>
      <c r="U74" s="348">
        <v>3.0720000000000001</v>
      </c>
      <c r="V74" s="345">
        <v>0</v>
      </c>
      <c r="W74" s="345">
        <v>0</v>
      </c>
      <c r="X74" s="348">
        <v>712.64370174999999</v>
      </c>
      <c r="Y74" s="348">
        <v>33.590000000000003</v>
      </c>
      <c r="Z74" s="345">
        <v>0</v>
      </c>
      <c r="AA74" s="348">
        <v>1203.2</v>
      </c>
      <c r="AB74" s="348">
        <v>0.12313526</v>
      </c>
      <c r="AC74" s="348">
        <v>729.80130316999998</v>
      </c>
      <c r="AD74" s="345">
        <v>0</v>
      </c>
      <c r="AE74" s="348">
        <v>0.56999999999999995</v>
      </c>
      <c r="AF74" s="348">
        <v>1010.432</v>
      </c>
      <c r="AG74" s="348">
        <v>1010.432</v>
      </c>
      <c r="AH74" s="345">
        <v>0</v>
      </c>
      <c r="AI74" s="345">
        <v>0</v>
      </c>
      <c r="AJ74" s="345">
        <v>0</v>
      </c>
      <c r="AK74" s="345">
        <v>0</v>
      </c>
      <c r="AL74">
        <v>0</v>
      </c>
      <c r="AM74">
        <v>0</v>
      </c>
      <c r="AN74">
        <v>0</v>
      </c>
      <c r="AO74">
        <v>0</v>
      </c>
      <c r="AP74">
        <v>0</v>
      </c>
      <c r="AQ74">
        <v>0</v>
      </c>
      <c r="AR74">
        <v>0</v>
      </c>
      <c r="AS74">
        <v>0</v>
      </c>
    </row>
    <row r="75" spans="1:45" hidden="1" x14ac:dyDescent="0.25">
      <c r="A75" s="284" t="s">
        <v>38</v>
      </c>
      <c r="B75" s="345">
        <v>0</v>
      </c>
      <c r="C75" s="345">
        <v>0</v>
      </c>
      <c r="D75" s="348">
        <v>28.84168631</v>
      </c>
      <c r="E75" s="345">
        <v>0</v>
      </c>
      <c r="F75" s="345">
        <v>0</v>
      </c>
      <c r="G75" s="345">
        <v>0</v>
      </c>
      <c r="H75" s="345">
        <v>0</v>
      </c>
      <c r="I75" s="345">
        <v>0</v>
      </c>
      <c r="J75" s="348">
        <v>9.7550000000000008</v>
      </c>
      <c r="K75" s="345">
        <v>0</v>
      </c>
      <c r="L75" s="345">
        <v>0</v>
      </c>
      <c r="M75" s="345">
        <v>0</v>
      </c>
      <c r="N75" s="345">
        <v>0</v>
      </c>
      <c r="O75" s="345">
        <v>0</v>
      </c>
      <c r="P75" s="345">
        <v>0</v>
      </c>
      <c r="Q75" s="345">
        <v>0</v>
      </c>
      <c r="R75" s="345">
        <v>0</v>
      </c>
      <c r="S75" s="345">
        <v>0</v>
      </c>
      <c r="T75" s="348">
        <v>1225.71434</v>
      </c>
      <c r="U75" s="345">
        <v>0</v>
      </c>
      <c r="V75" s="345">
        <v>0</v>
      </c>
      <c r="W75" s="345">
        <v>0</v>
      </c>
      <c r="X75" s="348">
        <v>679.05370174999996</v>
      </c>
      <c r="Y75" s="345">
        <v>0</v>
      </c>
      <c r="Z75" s="345">
        <v>0</v>
      </c>
      <c r="AA75" s="348">
        <v>1203.2</v>
      </c>
      <c r="AB75" s="345">
        <v>0</v>
      </c>
      <c r="AC75" s="348">
        <v>729.67816790999996</v>
      </c>
      <c r="AD75" s="345">
        <v>0</v>
      </c>
      <c r="AE75" s="348">
        <v>0.56999999999999995</v>
      </c>
      <c r="AF75" s="345">
        <v>0</v>
      </c>
      <c r="AG75" s="345">
        <v>0</v>
      </c>
      <c r="AH75" s="345">
        <v>0</v>
      </c>
      <c r="AI75" s="345">
        <v>0</v>
      </c>
      <c r="AJ75" s="345">
        <v>0</v>
      </c>
      <c r="AK75" s="348">
        <v>9.9165601500000005</v>
      </c>
      <c r="AL75">
        <v>0</v>
      </c>
      <c r="AM75">
        <v>0</v>
      </c>
      <c r="AN75">
        <v>0</v>
      </c>
      <c r="AO75">
        <v>0</v>
      </c>
      <c r="AP75">
        <v>0</v>
      </c>
      <c r="AQ75">
        <v>0</v>
      </c>
      <c r="AR75">
        <v>0</v>
      </c>
      <c r="AS75">
        <v>0</v>
      </c>
    </row>
    <row r="76" spans="1:45" x14ac:dyDescent="0.25">
      <c r="A76" s="284" t="s">
        <v>39</v>
      </c>
      <c r="B76" s="345">
        <v>0</v>
      </c>
      <c r="C76" s="345">
        <v>0</v>
      </c>
      <c r="D76" s="348">
        <v>28.84168631</v>
      </c>
      <c r="E76" s="345">
        <v>0</v>
      </c>
      <c r="F76" s="345">
        <v>0</v>
      </c>
      <c r="G76" s="345">
        <v>0</v>
      </c>
      <c r="H76" s="345">
        <v>0</v>
      </c>
      <c r="I76" s="345">
        <v>0</v>
      </c>
      <c r="J76" s="348">
        <v>9.7550000000000008</v>
      </c>
      <c r="K76" s="345">
        <v>0</v>
      </c>
      <c r="L76" s="345">
        <v>0</v>
      </c>
      <c r="M76" s="345">
        <v>0</v>
      </c>
      <c r="N76" s="345">
        <v>0</v>
      </c>
      <c r="O76" s="345">
        <v>0</v>
      </c>
      <c r="P76" s="345">
        <v>0</v>
      </c>
      <c r="Q76" s="345">
        <v>0</v>
      </c>
      <c r="R76" s="345">
        <v>0</v>
      </c>
      <c r="S76" s="345">
        <v>0</v>
      </c>
      <c r="T76" s="348">
        <v>1225.71434</v>
      </c>
      <c r="U76" s="345">
        <v>0</v>
      </c>
      <c r="V76" s="345">
        <v>0</v>
      </c>
      <c r="W76" s="345">
        <v>0</v>
      </c>
      <c r="X76" s="348">
        <v>679.05370174999996</v>
      </c>
      <c r="Y76" s="345">
        <v>0</v>
      </c>
      <c r="Z76" s="345">
        <v>0</v>
      </c>
      <c r="AA76" s="348">
        <v>1203.2</v>
      </c>
      <c r="AB76" s="345">
        <v>0</v>
      </c>
      <c r="AC76" s="348">
        <v>729.67816790999996</v>
      </c>
      <c r="AD76" s="345">
        <v>0</v>
      </c>
      <c r="AE76" s="348">
        <v>0.56999999999999995</v>
      </c>
      <c r="AF76" s="345">
        <v>0</v>
      </c>
      <c r="AG76" s="345">
        <v>0</v>
      </c>
      <c r="AH76" s="345">
        <v>0</v>
      </c>
      <c r="AI76" s="345">
        <v>0</v>
      </c>
      <c r="AJ76" s="345">
        <v>0</v>
      </c>
      <c r="AK76" s="348">
        <v>9.9165601500000005</v>
      </c>
      <c r="AM76">
        <f>SUBTOTAL(9,F76:Y76)</f>
        <v>1914.5230417500002</v>
      </c>
    </row>
    <row r="77" spans="1:45" hidden="1" x14ac:dyDescent="0.25">
      <c r="A77" s="155">
        <v>1</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s="487">
        <v>0</v>
      </c>
      <c r="AL77">
        <v>0</v>
      </c>
      <c r="AM77">
        <v>0</v>
      </c>
      <c r="AN77">
        <v>0</v>
      </c>
      <c r="AO77">
        <v>0</v>
      </c>
      <c r="AP77">
        <v>0</v>
      </c>
      <c r="AQ77">
        <v>0</v>
      </c>
      <c r="AR77">
        <v>0</v>
      </c>
      <c r="AS77">
        <v>0</v>
      </c>
    </row>
    <row r="78" spans="1:45" hidden="1" x14ac:dyDescent="0.25">
      <c r="A78" s="155" t="s">
        <v>50</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s="487">
        <v>0</v>
      </c>
      <c r="AL78">
        <v>0</v>
      </c>
      <c r="AM78">
        <v>0</v>
      </c>
      <c r="AN78">
        <v>0</v>
      </c>
      <c r="AO78">
        <v>0</v>
      </c>
      <c r="AP78">
        <v>0</v>
      </c>
      <c r="AQ78">
        <v>0</v>
      </c>
      <c r="AR78">
        <v>0</v>
      </c>
      <c r="AS78">
        <v>0</v>
      </c>
    </row>
    <row r="79" spans="1:45" hidden="1" x14ac:dyDescent="0.25">
      <c r="A79" s="284" t="s">
        <v>36</v>
      </c>
      <c r="B79" s="345">
        <v>0</v>
      </c>
      <c r="C79" s="345">
        <v>0</v>
      </c>
      <c r="D79" s="348">
        <v>7.5508275199999995</v>
      </c>
      <c r="E79" s="345">
        <v>0</v>
      </c>
      <c r="F79" s="345">
        <v>0</v>
      </c>
      <c r="G79" s="345">
        <v>0</v>
      </c>
      <c r="H79" s="345">
        <v>0</v>
      </c>
      <c r="I79" s="345">
        <v>0</v>
      </c>
      <c r="J79" s="345">
        <v>0</v>
      </c>
      <c r="K79" s="345">
        <v>0</v>
      </c>
      <c r="L79" s="345">
        <v>0</v>
      </c>
      <c r="M79" s="345">
        <v>0</v>
      </c>
      <c r="N79" s="345">
        <v>0</v>
      </c>
      <c r="O79" s="345">
        <v>0</v>
      </c>
      <c r="P79" s="345">
        <v>0</v>
      </c>
      <c r="Q79" s="345">
        <v>0</v>
      </c>
      <c r="R79" s="345">
        <v>0</v>
      </c>
      <c r="S79" s="345">
        <v>0</v>
      </c>
      <c r="T79" s="345">
        <v>0</v>
      </c>
      <c r="U79" s="345">
        <v>0</v>
      </c>
      <c r="V79" s="345">
        <v>0</v>
      </c>
      <c r="W79" s="345">
        <v>0</v>
      </c>
      <c r="X79" s="345">
        <v>0</v>
      </c>
      <c r="Y79" s="345">
        <v>0</v>
      </c>
      <c r="Z79" s="345">
        <v>0</v>
      </c>
      <c r="AA79" s="345">
        <v>0</v>
      </c>
      <c r="AB79" s="345">
        <v>0</v>
      </c>
      <c r="AC79" s="345">
        <v>0</v>
      </c>
      <c r="AD79" s="345">
        <v>0</v>
      </c>
      <c r="AE79" s="345">
        <v>0</v>
      </c>
      <c r="AF79" s="345">
        <v>0</v>
      </c>
      <c r="AG79" s="345">
        <v>0</v>
      </c>
      <c r="AH79" s="345">
        <v>0</v>
      </c>
      <c r="AI79" s="345">
        <v>0</v>
      </c>
      <c r="AJ79" s="345">
        <v>0</v>
      </c>
      <c r="AK79" s="348">
        <v>7.5508275199999995</v>
      </c>
      <c r="AL79">
        <v>0</v>
      </c>
      <c r="AM79">
        <v>0</v>
      </c>
      <c r="AN79">
        <v>0</v>
      </c>
      <c r="AO79">
        <v>0</v>
      </c>
      <c r="AP79">
        <v>0</v>
      </c>
      <c r="AQ79">
        <v>0</v>
      </c>
      <c r="AR79">
        <v>0</v>
      </c>
      <c r="AS79">
        <v>0</v>
      </c>
    </row>
    <row r="80" spans="1:45" hidden="1" x14ac:dyDescent="0.25">
      <c r="A80" s="284" t="s">
        <v>37</v>
      </c>
      <c r="B80" s="348">
        <v>4.2587999999999999</v>
      </c>
      <c r="C80" s="348">
        <v>4.2587999999999999</v>
      </c>
      <c r="D80" s="348">
        <v>1250.34315874</v>
      </c>
      <c r="E80" s="348">
        <v>1244.7506471300001</v>
      </c>
      <c r="F80" s="345">
        <v>0</v>
      </c>
      <c r="G80" s="345">
        <v>0</v>
      </c>
      <c r="H80" s="345">
        <v>0</v>
      </c>
      <c r="I80" s="345">
        <v>0</v>
      </c>
      <c r="J80" s="345">
        <v>0</v>
      </c>
      <c r="K80" s="345">
        <v>0</v>
      </c>
      <c r="L80" s="345">
        <v>0</v>
      </c>
      <c r="M80" s="345">
        <v>0</v>
      </c>
      <c r="N80" s="345">
        <v>0</v>
      </c>
      <c r="O80" s="345">
        <v>0</v>
      </c>
      <c r="P80" s="345">
        <v>0</v>
      </c>
      <c r="Q80" s="345">
        <v>0</v>
      </c>
      <c r="R80" s="348">
        <v>4</v>
      </c>
      <c r="S80" s="345">
        <v>0</v>
      </c>
      <c r="T80" s="348">
        <v>1002.324</v>
      </c>
      <c r="U80" s="348">
        <v>2.0087999999999999</v>
      </c>
      <c r="V80" s="345">
        <v>0</v>
      </c>
      <c r="W80" s="345">
        <v>0</v>
      </c>
      <c r="X80" s="348">
        <v>238.2089</v>
      </c>
      <c r="Y80" s="348">
        <v>2.25</v>
      </c>
      <c r="Z80" s="345">
        <v>0</v>
      </c>
      <c r="AA80" s="348">
        <v>700.30499999999995</v>
      </c>
      <c r="AB80" s="348">
        <v>0.21774713000000001</v>
      </c>
      <c r="AC80" s="348">
        <v>545.77935874000002</v>
      </c>
      <c r="AD80" s="345">
        <v>0</v>
      </c>
      <c r="AE80" s="345">
        <v>0</v>
      </c>
      <c r="AF80" s="348">
        <v>4.2587999999999999</v>
      </c>
      <c r="AG80" s="348">
        <v>4.2587999999999999</v>
      </c>
      <c r="AH80" s="345">
        <v>0</v>
      </c>
      <c r="AI80" s="345">
        <v>0</v>
      </c>
      <c r="AJ80" s="345">
        <v>0</v>
      </c>
      <c r="AK80" s="345">
        <v>0</v>
      </c>
      <c r="AL80">
        <v>0</v>
      </c>
      <c r="AM80">
        <v>0</v>
      </c>
      <c r="AN80">
        <v>0</v>
      </c>
      <c r="AO80">
        <v>0</v>
      </c>
      <c r="AP80">
        <v>0</v>
      </c>
      <c r="AQ80">
        <v>0</v>
      </c>
      <c r="AR80">
        <v>0</v>
      </c>
      <c r="AS80">
        <v>0</v>
      </c>
    </row>
    <row r="81" spans="1:45" hidden="1" x14ac:dyDescent="0.25">
      <c r="A81" s="284" t="s">
        <v>38</v>
      </c>
      <c r="B81" s="345">
        <v>0</v>
      </c>
      <c r="C81" s="345">
        <v>0</v>
      </c>
      <c r="D81" s="348">
        <v>13.143339130000001</v>
      </c>
      <c r="E81" s="345">
        <v>0</v>
      </c>
      <c r="F81" s="345">
        <v>0</v>
      </c>
      <c r="G81" s="345">
        <v>0</v>
      </c>
      <c r="H81" s="345">
        <v>0</v>
      </c>
      <c r="I81" s="345">
        <v>0</v>
      </c>
      <c r="J81" s="345">
        <v>0</v>
      </c>
      <c r="K81" s="345">
        <v>0</v>
      </c>
      <c r="L81" s="345">
        <v>0</v>
      </c>
      <c r="M81" s="345">
        <v>0</v>
      </c>
      <c r="N81" s="345">
        <v>0</v>
      </c>
      <c r="O81" s="345">
        <v>0</v>
      </c>
      <c r="P81" s="345">
        <v>0</v>
      </c>
      <c r="Q81" s="345">
        <v>0</v>
      </c>
      <c r="R81" s="348">
        <v>4</v>
      </c>
      <c r="S81" s="345">
        <v>0</v>
      </c>
      <c r="T81" s="348">
        <v>1000.3152</v>
      </c>
      <c r="U81" s="345">
        <v>0</v>
      </c>
      <c r="V81" s="345">
        <v>0</v>
      </c>
      <c r="W81" s="345">
        <v>0</v>
      </c>
      <c r="X81" s="348">
        <v>235.9589</v>
      </c>
      <c r="Y81" s="345">
        <v>0</v>
      </c>
      <c r="Z81" s="345">
        <v>0</v>
      </c>
      <c r="AA81" s="348">
        <v>700.30499999999995</v>
      </c>
      <c r="AB81" s="345">
        <v>0</v>
      </c>
      <c r="AC81" s="348">
        <v>545.56161161</v>
      </c>
      <c r="AD81" s="345">
        <v>0</v>
      </c>
      <c r="AE81" s="345">
        <v>0</v>
      </c>
      <c r="AF81" s="345">
        <v>0</v>
      </c>
      <c r="AG81" s="345">
        <v>0</v>
      </c>
      <c r="AH81" s="345">
        <v>0</v>
      </c>
      <c r="AI81" s="345">
        <v>0</v>
      </c>
      <c r="AJ81" s="345">
        <v>0</v>
      </c>
      <c r="AK81" s="348">
        <v>7.5508275199999995</v>
      </c>
      <c r="AL81">
        <v>0</v>
      </c>
      <c r="AM81">
        <v>0</v>
      </c>
      <c r="AN81">
        <v>0</v>
      </c>
      <c r="AO81">
        <v>0</v>
      </c>
      <c r="AP81">
        <v>0</v>
      </c>
      <c r="AQ81">
        <v>0</v>
      </c>
      <c r="AR81">
        <v>0</v>
      </c>
      <c r="AS81">
        <v>0</v>
      </c>
    </row>
    <row r="82" spans="1:45" x14ac:dyDescent="0.25">
      <c r="A82" s="284" t="s">
        <v>39</v>
      </c>
      <c r="B82" s="345">
        <v>0</v>
      </c>
      <c r="C82" s="345">
        <v>0</v>
      </c>
      <c r="D82" s="348">
        <v>13.143339130000001</v>
      </c>
      <c r="E82" s="345">
        <v>0</v>
      </c>
      <c r="F82" s="345">
        <v>0</v>
      </c>
      <c r="G82" s="345">
        <v>0</v>
      </c>
      <c r="H82" s="345">
        <v>0</v>
      </c>
      <c r="I82" s="345">
        <v>0</v>
      </c>
      <c r="J82" s="345">
        <v>0</v>
      </c>
      <c r="K82" s="345">
        <v>0</v>
      </c>
      <c r="L82" s="345">
        <v>0</v>
      </c>
      <c r="M82" s="345">
        <v>0</v>
      </c>
      <c r="N82" s="345">
        <v>0</v>
      </c>
      <c r="O82" s="345">
        <v>0</v>
      </c>
      <c r="P82" s="345">
        <v>0</v>
      </c>
      <c r="Q82" s="345">
        <v>0</v>
      </c>
      <c r="R82" s="348">
        <v>4</v>
      </c>
      <c r="S82" s="345">
        <v>0</v>
      </c>
      <c r="T82" s="348">
        <v>1000.3152</v>
      </c>
      <c r="U82" s="345">
        <v>0</v>
      </c>
      <c r="V82" s="345">
        <v>0</v>
      </c>
      <c r="W82" s="345">
        <v>0</v>
      </c>
      <c r="X82" s="348">
        <v>235.9589</v>
      </c>
      <c r="Y82" s="345">
        <v>0</v>
      </c>
      <c r="Z82" s="345">
        <v>0</v>
      </c>
      <c r="AA82" s="348">
        <v>700.30499999999995</v>
      </c>
      <c r="AB82" s="345">
        <v>0</v>
      </c>
      <c r="AC82" s="348">
        <v>545.56161161</v>
      </c>
      <c r="AD82" s="345">
        <v>0</v>
      </c>
      <c r="AE82" s="345">
        <v>0</v>
      </c>
      <c r="AF82" s="345">
        <v>0</v>
      </c>
      <c r="AG82" s="345">
        <v>0</v>
      </c>
      <c r="AH82" s="345">
        <v>0</v>
      </c>
      <c r="AI82" s="345">
        <v>0</v>
      </c>
      <c r="AJ82" s="345">
        <v>0</v>
      </c>
      <c r="AK82" s="348">
        <v>7.5508275199999995</v>
      </c>
      <c r="AM82">
        <f>SUBTOTAL(9,F82:Y82)</f>
        <v>1240.2741000000001</v>
      </c>
    </row>
    <row r="83" spans="1:45" hidden="1" x14ac:dyDescent="0.25">
      <c r="A83" s="155">
        <v>1</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s="487">
        <v>0</v>
      </c>
      <c r="AL83">
        <v>0</v>
      </c>
      <c r="AM83">
        <v>0</v>
      </c>
      <c r="AN83">
        <v>0</v>
      </c>
      <c r="AO83">
        <v>0</v>
      </c>
      <c r="AP83">
        <v>0</v>
      </c>
      <c r="AQ83">
        <v>0</v>
      </c>
      <c r="AR83">
        <v>0</v>
      </c>
      <c r="AS83">
        <v>0</v>
      </c>
    </row>
    <row r="84" spans="1:45" hidden="1" x14ac:dyDescent="0.25">
      <c r="A84" s="155" t="s">
        <v>51</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s="487">
        <v>0</v>
      </c>
      <c r="AL84">
        <v>0</v>
      </c>
      <c r="AM84">
        <v>0</v>
      </c>
      <c r="AN84">
        <v>0</v>
      </c>
      <c r="AO84">
        <v>0</v>
      </c>
      <c r="AP84">
        <v>0</v>
      </c>
      <c r="AQ84">
        <v>0</v>
      </c>
      <c r="AR84">
        <v>0</v>
      </c>
      <c r="AS84">
        <v>0</v>
      </c>
    </row>
    <row r="85" spans="1:45" hidden="1" x14ac:dyDescent="0.25">
      <c r="A85" s="284" t="s">
        <v>36</v>
      </c>
      <c r="B85" s="345">
        <v>0</v>
      </c>
      <c r="C85" s="345">
        <v>0</v>
      </c>
      <c r="D85" s="348">
        <v>114.6199737</v>
      </c>
      <c r="E85" s="345">
        <v>0</v>
      </c>
      <c r="F85" s="345">
        <v>0</v>
      </c>
      <c r="G85" s="345">
        <v>0</v>
      </c>
      <c r="H85" s="345">
        <v>0</v>
      </c>
      <c r="I85" s="345">
        <v>0</v>
      </c>
      <c r="J85" s="345">
        <v>0</v>
      </c>
      <c r="K85" s="345">
        <v>0</v>
      </c>
      <c r="L85" s="345">
        <v>0</v>
      </c>
      <c r="M85" s="345">
        <v>0</v>
      </c>
      <c r="N85" s="345">
        <v>0</v>
      </c>
      <c r="O85" s="345">
        <v>0</v>
      </c>
      <c r="P85" s="345">
        <v>0</v>
      </c>
      <c r="Q85" s="345">
        <v>0</v>
      </c>
      <c r="R85" s="345">
        <v>0</v>
      </c>
      <c r="S85" s="345">
        <v>0</v>
      </c>
      <c r="T85" s="345">
        <v>0</v>
      </c>
      <c r="U85" s="345">
        <v>0</v>
      </c>
      <c r="V85" s="345">
        <v>0</v>
      </c>
      <c r="W85" s="345">
        <v>0</v>
      </c>
      <c r="X85" s="345">
        <v>0</v>
      </c>
      <c r="Y85" s="345">
        <v>0</v>
      </c>
      <c r="Z85" s="345">
        <v>0</v>
      </c>
      <c r="AA85" s="345">
        <v>0</v>
      </c>
      <c r="AB85" s="345">
        <v>0</v>
      </c>
      <c r="AC85" s="345">
        <v>0</v>
      </c>
      <c r="AD85" s="345">
        <v>0</v>
      </c>
      <c r="AE85" s="345">
        <v>0</v>
      </c>
      <c r="AF85" s="345">
        <v>0</v>
      </c>
      <c r="AG85" s="345">
        <v>0</v>
      </c>
      <c r="AH85" s="345">
        <v>0</v>
      </c>
      <c r="AI85" s="345">
        <v>0</v>
      </c>
      <c r="AJ85" s="345">
        <v>0</v>
      </c>
      <c r="AK85" s="348">
        <v>114.6199737</v>
      </c>
      <c r="AL85">
        <v>0</v>
      </c>
      <c r="AM85">
        <v>0</v>
      </c>
      <c r="AN85">
        <v>0</v>
      </c>
      <c r="AO85">
        <v>0</v>
      </c>
      <c r="AP85">
        <v>0</v>
      </c>
      <c r="AQ85">
        <v>0</v>
      </c>
      <c r="AR85">
        <v>0</v>
      </c>
      <c r="AS85">
        <v>0</v>
      </c>
    </row>
    <row r="86" spans="1:45" hidden="1" x14ac:dyDescent="0.25">
      <c r="A86" s="284" t="s">
        <v>37</v>
      </c>
      <c r="B86" s="348">
        <v>17.409600000000001</v>
      </c>
      <c r="C86" s="348">
        <v>17.409600000000001</v>
      </c>
      <c r="D86" s="348">
        <v>2096.77306731</v>
      </c>
      <c r="E86" s="348">
        <v>1643.61843269</v>
      </c>
      <c r="F86" s="345">
        <v>0</v>
      </c>
      <c r="G86" s="345">
        <v>0</v>
      </c>
      <c r="H86" s="345">
        <v>0</v>
      </c>
      <c r="I86" s="345">
        <v>0</v>
      </c>
      <c r="J86" s="345">
        <v>0</v>
      </c>
      <c r="K86" s="345">
        <v>0</v>
      </c>
      <c r="L86" s="345">
        <v>0</v>
      </c>
      <c r="M86" s="345">
        <v>0</v>
      </c>
      <c r="N86" s="345">
        <v>0</v>
      </c>
      <c r="O86" s="345">
        <v>0</v>
      </c>
      <c r="P86" s="345">
        <v>0</v>
      </c>
      <c r="Q86" s="345">
        <v>0</v>
      </c>
      <c r="R86" s="345">
        <v>0</v>
      </c>
      <c r="S86" s="345">
        <v>0</v>
      </c>
      <c r="T86" s="348">
        <v>1475.9780000000001</v>
      </c>
      <c r="U86" s="348">
        <v>8.3856000000000002</v>
      </c>
      <c r="V86" s="345">
        <v>0</v>
      </c>
      <c r="W86" s="345">
        <v>0</v>
      </c>
      <c r="X86" s="348">
        <v>167.47300000000001</v>
      </c>
      <c r="Y86" s="348">
        <v>1.2</v>
      </c>
      <c r="Z86" s="345">
        <v>0</v>
      </c>
      <c r="AA86" s="348">
        <v>1312.55</v>
      </c>
      <c r="AB86" s="348">
        <v>0.16743269</v>
      </c>
      <c r="AC86" s="348">
        <v>774.63746730999992</v>
      </c>
      <c r="AD86" s="345">
        <v>0</v>
      </c>
      <c r="AE86" s="345">
        <v>0</v>
      </c>
      <c r="AF86" s="348">
        <v>17.409600000000001</v>
      </c>
      <c r="AG86" s="348">
        <v>17.409600000000001</v>
      </c>
      <c r="AH86" s="345">
        <v>0</v>
      </c>
      <c r="AI86" s="345">
        <v>0</v>
      </c>
      <c r="AJ86" s="345">
        <v>0</v>
      </c>
      <c r="AK86" s="345">
        <v>0</v>
      </c>
      <c r="AL86">
        <v>0</v>
      </c>
      <c r="AM86">
        <v>0</v>
      </c>
      <c r="AN86">
        <v>0</v>
      </c>
      <c r="AO86">
        <v>0</v>
      </c>
      <c r="AP86">
        <v>0</v>
      </c>
      <c r="AQ86">
        <v>0</v>
      </c>
      <c r="AR86">
        <v>0</v>
      </c>
      <c r="AS86">
        <v>0</v>
      </c>
    </row>
    <row r="87" spans="1:45" hidden="1" x14ac:dyDescent="0.25">
      <c r="A87" s="284" t="s">
        <v>38</v>
      </c>
      <c r="B87" s="345">
        <v>0</v>
      </c>
      <c r="C87" s="345">
        <v>0</v>
      </c>
      <c r="D87" s="348">
        <v>567.77460832000008</v>
      </c>
      <c r="E87" s="345">
        <v>0</v>
      </c>
      <c r="F87" s="345">
        <v>0</v>
      </c>
      <c r="G87" s="345">
        <v>0</v>
      </c>
      <c r="H87" s="345">
        <v>0</v>
      </c>
      <c r="I87" s="345">
        <v>0</v>
      </c>
      <c r="J87" s="345">
        <v>0</v>
      </c>
      <c r="K87" s="345">
        <v>0</v>
      </c>
      <c r="L87" s="345">
        <v>0</v>
      </c>
      <c r="M87" s="345">
        <v>0</v>
      </c>
      <c r="N87" s="345">
        <v>0</v>
      </c>
      <c r="O87" s="345">
        <v>0</v>
      </c>
      <c r="P87" s="345">
        <v>0</v>
      </c>
      <c r="Q87" s="345">
        <v>0</v>
      </c>
      <c r="R87" s="345">
        <v>0</v>
      </c>
      <c r="S87" s="345">
        <v>0</v>
      </c>
      <c r="T87" s="348">
        <v>1467.5924</v>
      </c>
      <c r="U87" s="345">
        <v>0</v>
      </c>
      <c r="V87" s="345">
        <v>0</v>
      </c>
      <c r="W87" s="345">
        <v>0</v>
      </c>
      <c r="X87" s="348">
        <v>166.273</v>
      </c>
      <c r="Y87" s="345">
        <v>0</v>
      </c>
      <c r="Z87" s="345">
        <v>0</v>
      </c>
      <c r="AA87" s="348">
        <v>1312.55</v>
      </c>
      <c r="AB87" s="345">
        <v>0</v>
      </c>
      <c r="AC87" s="348">
        <v>774.47003461999998</v>
      </c>
      <c r="AD87" s="345">
        <v>0</v>
      </c>
      <c r="AE87" s="345">
        <v>0</v>
      </c>
      <c r="AF87" s="345">
        <v>0</v>
      </c>
      <c r="AG87" s="345">
        <v>0</v>
      </c>
      <c r="AH87" s="345">
        <v>0</v>
      </c>
      <c r="AI87" s="345">
        <v>0</v>
      </c>
      <c r="AJ87" s="345">
        <v>0</v>
      </c>
      <c r="AK87" s="348">
        <v>114.6199737</v>
      </c>
      <c r="AL87">
        <v>0</v>
      </c>
      <c r="AM87">
        <v>0</v>
      </c>
      <c r="AN87">
        <v>0</v>
      </c>
      <c r="AO87">
        <v>0</v>
      </c>
      <c r="AP87">
        <v>0</v>
      </c>
      <c r="AQ87">
        <v>0</v>
      </c>
      <c r="AR87">
        <v>0</v>
      </c>
      <c r="AS87">
        <v>0</v>
      </c>
    </row>
    <row r="88" spans="1:45" x14ac:dyDescent="0.25">
      <c r="A88" s="284" t="s">
        <v>39</v>
      </c>
      <c r="B88" s="345">
        <v>0</v>
      </c>
      <c r="C88" s="345">
        <v>0</v>
      </c>
      <c r="D88" s="348">
        <v>567.77460832000008</v>
      </c>
      <c r="E88" s="345">
        <v>0</v>
      </c>
      <c r="F88" s="345">
        <v>0</v>
      </c>
      <c r="G88" s="345">
        <v>0</v>
      </c>
      <c r="H88" s="345">
        <v>0</v>
      </c>
      <c r="I88" s="345">
        <v>0</v>
      </c>
      <c r="J88" s="345">
        <v>0</v>
      </c>
      <c r="K88" s="345">
        <v>0</v>
      </c>
      <c r="L88" s="345">
        <v>0</v>
      </c>
      <c r="M88" s="345">
        <v>0</v>
      </c>
      <c r="N88" s="345">
        <v>0</v>
      </c>
      <c r="O88" s="345">
        <v>0</v>
      </c>
      <c r="P88" s="345">
        <v>0</v>
      </c>
      <c r="Q88" s="345">
        <v>0</v>
      </c>
      <c r="R88" s="345">
        <v>0</v>
      </c>
      <c r="S88" s="345">
        <v>0</v>
      </c>
      <c r="T88" s="348">
        <v>1467.5924</v>
      </c>
      <c r="U88" s="345">
        <v>0</v>
      </c>
      <c r="V88" s="345">
        <v>0</v>
      </c>
      <c r="W88" s="345">
        <v>0</v>
      </c>
      <c r="X88" s="348">
        <v>166.273</v>
      </c>
      <c r="Y88" s="345">
        <v>0</v>
      </c>
      <c r="Z88" s="345">
        <v>0</v>
      </c>
      <c r="AA88" s="348">
        <v>1312.55</v>
      </c>
      <c r="AB88" s="345">
        <v>0</v>
      </c>
      <c r="AC88" s="348">
        <v>774.47003461999998</v>
      </c>
      <c r="AD88" s="345">
        <v>0</v>
      </c>
      <c r="AE88" s="345">
        <v>0</v>
      </c>
      <c r="AF88" s="345">
        <v>0</v>
      </c>
      <c r="AG88" s="345">
        <v>0</v>
      </c>
      <c r="AH88" s="345">
        <v>0</v>
      </c>
      <c r="AI88" s="345">
        <v>0</v>
      </c>
      <c r="AJ88" s="345">
        <v>0</v>
      </c>
      <c r="AK88" s="348">
        <v>114.6199737</v>
      </c>
      <c r="AM88">
        <f>SUBTOTAL(9,F88:Y88)</f>
        <v>1633.8653999999999</v>
      </c>
    </row>
    <row r="89" spans="1:45" hidden="1" x14ac:dyDescent="0.25">
      <c r="A89" s="155">
        <v>1</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s="487">
        <v>0</v>
      </c>
      <c r="AL89">
        <v>0</v>
      </c>
      <c r="AM89">
        <v>0</v>
      </c>
      <c r="AN89">
        <v>0</v>
      </c>
      <c r="AO89">
        <v>0</v>
      </c>
      <c r="AP89">
        <v>0</v>
      </c>
      <c r="AQ89">
        <v>0</v>
      </c>
      <c r="AR89">
        <v>0</v>
      </c>
      <c r="AS89">
        <v>0</v>
      </c>
    </row>
    <row r="90" spans="1:45" hidden="1" x14ac:dyDescent="0.25">
      <c r="A90" s="155" t="s">
        <v>52</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s="487">
        <v>0</v>
      </c>
      <c r="AL90">
        <v>0</v>
      </c>
      <c r="AM90">
        <v>0</v>
      </c>
      <c r="AN90">
        <v>0</v>
      </c>
      <c r="AO90">
        <v>0</v>
      </c>
      <c r="AP90">
        <v>0</v>
      </c>
      <c r="AQ90">
        <v>0</v>
      </c>
      <c r="AR90">
        <v>0</v>
      </c>
      <c r="AS90">
        <v>0</v>
      </c>
    </row>
    <row r="91" spans="1:45" hidden="1" x14ac:dyDescent="0.25">
      <c r="A91" s="284" t="s">
        <v>36</v>
      </c>
      <c r="B91" s="345">
        <v>0</v>
      </c>
      <c r="C91" s="345">
        <v>0</v>
      </c>
      <c r="D91" s="348">
        <v>126.20172158</v>
      </c>
      <c r="E91" s="345">
        <v>0</v>
      </c>
      <c r="F91" s="345">
        <v>0</v>
      </c>
      <c r="G91" s="345">
        <v>0</v>
      </c>
      <c r="H91" s="345">
        <v>0</v>
      </c>
      <c r="I91" s="345">
        <v>0</v>
      </c>
      <c r="J91" s="345">
        <v>0</v>
      </c>
      <c r="K91" s="345">
        <v>0</v>
      </c>
      <c r="L91" s="345">
        <v>0</v>
      </c>
      <c r="M91" s="345">
        <v>0</v>
      </c>
      <c r="N91" s="345">
        <v>0</v>
      </c>
      <c r="O91" s="345">
        <v>0</v>
      </c>
      <c r="P91" s="345">
        <v>0</v>
      </c>
      <c r="Q91" s="345">
        <v>0</v>
      </c>
      <c r="R91" s="345">
        <v>0</v>
      </c>
      <c r="S91" s="345">
        <v>0</v>
      </c>
      <c r="T91" s="345">
        <v>0</v>
      </c>
      <c r="U91" s="345">
        <v>0</v>
      </c>
      <c r="V91" s="345">
        <v>0</v>
      </c>
      <c r="W91" s="345">
        <v>0</v>
      </c>
      <c r="X91" s="345">
        <v>0</v>
      </c>
      <c r="Y91" s="345">
        <v>0</v>
      </c>
      <c r="Z91" s="345">
        <v>0</v>
      </c>
      <c r="AA91" s="345">
        <v>0</v>
      </c>
      <c r="AB91" s="345">
        <v>0</v>
      </c>
      <c r="AC91" s="345">
        <v>0</v>
      </c>
      <c r="AD91" s="345">
        <v>0</v>
      </c>
      <c r="AE91" s="345">
        <v>0</v>
      </c>
      <c r="AF91" s="345">
        <v>0</v>
      </c>
      <c r="AG91" s="345">
        <v>0</v>
      </c>
      <c r="AH91" s="345">
        <v>0</v>
      </c>
      <c r="AI91" s="345">
        <v>0</v>
      </c>
      <c r="AJ91" s="345">
        <v>0</v>
      </c>
      <c r="AK91" s="348">
        <v>126.20172158</v>
      </c>
      <c r="AL91">
        <v>0</v>
      </c>
      <c r="AM91">
        <v>0</v>
      </c>
      <c r="AN91">
        <v>0</v>
      </c>
      <c r="AO91">
        <v>0</v>
      </c>
      <c r="AP91">
        <v>0</v>
      </c>
      <c r="AQ91">
        <v>0</v>
      </c>
      <c r="AR91">
        <v>0</v>
      </c>
      <c r="AS91">
        <v>0</v>
      </c>
    </row>
    <row r="92" spans="1:45" hidden="1" x14ac:dyDescent="0.25">
      <c r="A92" s="284" t="s">
        <v>37</v>
      </c>
      <c r="B92" s="348">
        <v>556.6</v>
      </c>
      <c r="C92" s="348">
        <v>556.6</v>
      </c>
      <c r="D92" s="348">
        <v>1924.3197995599999</v>
      </c>
      <c r="E92" s="348">
        <v>1919.2959526500001</v>
      </c>
      <c r="F92" s="345">
        <v>0</v>
      </c>
      <c r="G92" s="345">
        <v>0</v>
      </c>
      <c r="H92" s="345">
        <v>0</v>
      </c>
      <c r="I92" s="345">
        <v>0</v>
      </c>
      <c r="J92" s="345">
        <v>0</v>
      </c>
      <c r="K92" s="345">
        <v>0</v>
      </c>
      <c r="L92" s="345">
        <v>0</v>
      </c>
      <c r="M92" s="345">
        <v>0</v>
      </c>
      <c r="N92" s="345">
        <v>0</v>
      </c>
      <c r="O92" s="345">
        <v>0</v>
      </c>
      <c r="P92" s="345">
        <v>0</v>
      </c>
      <c r="Q92" s="345">
        <v>0</v>
      </c>
      <c r="R92" s="345">
        <v>0</v>
      </c>
      <c r="S92" s="345">
        <v>0</v>
      </c>
      <c r="T92" s="348">
        <v>1379.46</v>
      </c>
      <c r="U92" s="345">
        <v>0</v>
      </c>
      <c r="V92" s="345">
        <v>0</v>
      </c>
      <c r="W92" s="345">
        <v>0</v>
      </c>
      <c r="X92" s="348">
        <v>539.81385899999998</v>
      </c>
      <c r="Y92" s="348">
        <v>16.5</v>
      </c>
      <c r="Z92" s="345">
        <v>0</v>
      </c>
      <c r="AA92" s="348">
        <v>1188.57</v>
      </c>
      <c r="AB92" s="348">
        <v>2.2093650000000003E-2</v>
      </c>
      <c r="AC92" s="348">
        <v>719.24979955999993</v>
      </c>
      <c r="AD92" s="345">
        <v>0</v>
      </c>
      <c r="AE92" s="345">
        <v>0</v>
      </c>
      <c r="AF92" s="348">
        <v>556.6</v>
      </c>
      <c r="AG92" s="348">
        <v>556.6</v>
      </c>
      <c r="AH92" s="348">
        <v>1379.46</v>
      </c>
      <c r="AI92" s="348">
        <v>1379.46</v>
      </c>
      <c r="AJ92" s="345">
        <v>0</v>
      </c>
      <c r="AK92" s="345">
        <v>0</v>
      </c>
      <c r="AL92">
        <v>0</v>
      </c>
      <c r="AM92">
        <v>0</v>
      </c>
      <c r="AN92">
        <v>0</v>
      </c>
      <c r="AO92">
        <v>0</v>
      </c>
      <c r="AP92">
        <v>0</v>
      </c>
      <c r="AQ92">
        <v>0</v>
      </c>
      <c r="AR92">
        <v>0</v>
      </c>
      <c r="AS92">
        <v>0</v>
      </c>
    </row>
    <row r="93" spans="1:45" hidden="1" x14ac:dyDescent="0.25">
      <c r="A93" s="284" t="s">
        <v>38</v>
      </c>
      <c r="B93" s="345">
        <v>0</v>
      </c>
      <c r="C93" s="345">
        <v>0</v>
      </c>
      <c r="D93" s="348">
        <v>131.22556849</v>
      </c>
      <c r="E93" s="345">
        <v>0</v>
      </c>
      <c r="F93" s="345">
        <v>0</v>
      </c>
      <c r="G93" s="345">
        <v>0</v>
      </c>
      <c r="H93" s="345">
        <v>0</v>
      </c>
      <c r="I93" s="345">
        <v>0</v>
      </c>
      <c r="J93" s="345">
        <v>0</v>
      </c>
      <c r="K93" s="345">
        <v>0</v>
      </c>
      <c r="L93" s="345">
        <v>0</v>
      </c>
      <c r="M93" s="345">
        <v>0</v>
      </c>
      <c r="N93" s="345">
        <v>0</v>
      </c>
      <c r="O93" s="345">
        <v>0</v>
      </c>
      <c r="P93" s="345">
        <v>0</v>
      </c>
      <c r="Q93" s="345">
        <v>0</v>
      </c>
      <c r="R93" s="345">
        <v>0</v>
      </c>
      <c r="S93" s="345">
        <v>0</v>
      </c>
      <c r="T93" s="348">
        <v>1379.46</v>
      </c>
      <c r="U93" s="345">
        <v>0</v>
      </c>
      <c r="V93" s="345">
        <v>0</v>
      </c>
      <c r="W93" s="345">
        <v>0</v>
      </c>
      <c r="X93" s="348">
        <v>523.31385899999998</v>
      </c>
      <c r="Y93" s="345">
        <v>0</v>
      </c>
      <c r="Z93" s="345">
        <v>0</v>
      </c>
      <c r="AA93" s="348">
        <v>1188.57</v>
      </c>
      <c r="AB93" s="345">
        <v>0</v>
      </c>
      <c r="AC93" s="348">
        <v>719.22770590999994</v>
      </c>
      <c r="AD93" s="345">
        <v>0</v>
      </c>
      <c r="AE93" s="345">
        <v>0</v>
      </c>
      <c r="AF93" s="345">
        <v>0</v>
      </c>
      <c r="AG93" s="345">
        <v>0</v>
      </c>
      <c r="AH93" s="345">
        <v>0</v>
      </c>
      <c r="AI93" s="345">
        <v>0</v>
      </c>
      <c r="AJ93" s="345">
        <v>0</v>
      </c>
      <c r="AK93" s="348">
        <v>126.20172158</v>
      </c>
      <c r="AL93">
        <v>0</v>
      </c>
      <c r="AM93">
        <v>0</v>
      </c>
      <c r="AN93">
        <v>0</v>
      </c>
      <c r="AO93">
        <v>0</v>
      </c>
      <c r="AP93">
        <v>0</v>
      </c>
      <c r="AQ93">
        <v>0</v>
      </c>
      <c r="AR93">
        <v>0</v>
      </c>
      <c r="AS93">
        <v>0</v>
      </c>
    </row>
    <row r="94" spans="1:45" x14ac:dyDescent="0.25">
      <c r="A94" s="284" t="s">
        <v>39</v>
      </c>
      <c r="B94" s="345">
        <v>0</v>
      </c>
      <c r="C94" s="345">
        <v>0</v>
      </c>
      <c r="D94" s="348">
        <v>131.22556849</v>
      </c>
      <c r="E94" s="345">
        <v>0</v>
      </c>
      <c r="F94" s="345">
        <v>0</v>
      </c>
      <c r="G94" s="345">
        <v>0</v>
      </c>
      <c r="H94" s="345">
        <v>0</v>
      </c>
      <c r="I94" s="345">
        <v>0</v>
      </c>
      <c r="J94" s="345">
        <v>0</v>
      </c>
      <c r="K94" s="345">
        <v>0</v>
      </c>
      <c r="L94" s="345">
        <v>0</v>
      </c>
      <c r="M94" s="345">
        <v>0</v>
      </c>
      <c r="N94" s="345">
        <v>0</v>
      </c>
      <c r="O94" s="345">
        <v>0</v>
      </c>
      <c r="P94" s="345">
        <v>0</v>
      </c>
      <c r="Q94" s="345">
        <v>0</v>
      </c>
      <c r="R94" s="345">
        <v>0</v>
      </c>
      <c r="S94" s="345">
        <v>0</v>
      </c>
      <c r="T94" s="348">
        <v>1379.46</v>
      </c>
      <c r="U94" s="345">
        <v>0</v>
      </c>
      <c r="V94" s="345">
        <v>0</v>
      </c>
      <c r="W94" s="345">
        <v>0</v>
      </c>
      <c r="X94" s="348">
        <v>523.31385899999998</v>
      </c>
      <c r="Y94" s="345">
        <v>0</v>
      </c>
      <c r="Z94" s="345">
        <v>0</v>
      </c>
      <c r="AA94" s="348">
        <v>1188.57</v>
      </c>
      <c r="AB94" s="345">
        <v>0</v>
      </c>
      <c r="AC94" s="348">
        <v>719.22770590999994</v>
      </c>
      <c r="AD94" s="345">
        <v>0</v>
      </c>
      <c r="AE94" s="345">
        <v>0</v>
      </c>
      <c r="AF94" s="345">
        <v>0</v>
      </c>
      <c r="AG94" s="345">
        <v>0</v>
      </c>
      <c r="AH94" s="345">
        <v>0</v>
      </c>
      <c r="AI94" s="345">
        <v>0</v>
      </c>
      <c r="AJ94" s="345">
        <v>0</v>
      </c>
      <c r="AK94" s="348">
        <v>126.20172158</v>
      </c>
      <c r="AM94">
        <f>SUBTOTAL(9,F94:Y94)</f>
        <v>1902.7738589999999</v>
      </c>
    </row>
    <row r="95" spans="1:45" hidden="1" x14ac:dyDescent="0.25">
      <c r="A95" s="155">
        <v>1</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s="487">
        <v>0</v>
      </c>
      <c r="AL95">
        <v>0</v>
      </c>
      <c r="AM95">
        <v>0</v>
      </c>
      <c r="AN95">
        <v>0</v>
      </c>
      <c r="AO95">
        <v>0</v>
      </c>
      <c r="AP95">
        <v>0</v>
      </c>
      <c r="AQ95">
        <v>0</v>
      </c>
      <c r="AR95">
        <v>0</v>
      </c>
      <c r="AS95">
        <v>0</v>
      </c>
    </row>
    <row r="96" spans="1:45" ht="26.25" hidden="1" x14ac:dyDescent="0.25">
      <c r="A96" s="155" t="s">
        <v>53</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s="487">
        <v>0</v>
      </c>
      <c r="AL96">
        <v>0</v>
      </c>
      <c r="AM96">
        <v>0</v>
      </c>
      <c r="AN96">
        <v>0</v>
      </c>
      <c r="AO96">
        <v>0</v>
      </c>
      <c r="AP96">
        <v>0</v>
      </c>
      <c r="AQ96">
        <v>0</v>
      </c>
      <c r="AR96">
        <v>0</v>
      </c>
      <c r="AS96">
        <v>0</v>
      </c>
    </row>
    <row r="97" spans="1:45" hidden="1" x14ac:dyDescent="0.25">
      <c r="A97" s="284" t="s">
        <v>36</v>
      </c>
      <c r="B97" s="345">
        <v>0</v>
      </c>
      <c r="C97" s="345">
        <v>0</v>
      </c>
      <c r="D97" s="348">
        <v>136.08666588</v>
      </c>
      <c r="E97" s="345">
        <v>0</v>
      </c>
      <c r="F97" s="345">
        <v>0</v>
      </c>
      <c r="G97" s="345">
        <v>0</v>
      </c>
      <c r="H97" s="345">
        <v>0</v>
      </c>
      <c r="I97" s="345">
        <v>0</v>
      </c>
      <c r="J97" s="345">
        <v>0</v>
      </c>
      <c r="K97" s="345">
        <v>0</v>
      </c>
      <c r="L97" s="345">
        <v>0</v>
      </c>
      <c r="M97" s="345">
        <v>0</v>
      </c>
      <c r="N97" s="345">
        <v>0</v>
      </c>
      <c r="O97" s="345">
        <v>0</v>
      </c>
      <c r="P97" s="345">
        <v>0</v>
      </c>
      <c r="Q97" s="345">
        <v>0</v>
      </c>
      <c r="R97" s="345">
        <v>0</v>
      </c>
      <c r="S97" s="345">
        <v>0</v>
      </c>
      <c r="T97" s="345">
        <v>0</v>
      </c>
      <c r="U97" s="345">
        <v>0</v>
      </c>
      <c r="V97" s="345">
        <v>0</v>
      </c>
      <c r="W97" s="345">
        <v>0</v>
      </c>
      <c r="X97" s="345">
        <v>0</v>
      </c>
      <c r="Y97" s="345">
        <v>0</v>
      </c>
      <c r="Z97" s="345">
        <v>0</v>
      </c>
      <c r="AA97" s="345">
        <v>0</v>
      </c>
      <c r="AB97" s="345">
        <v>0</v>
      </c>
      <c r="AC97" s="345">
        <v>0</v>
      </c>
      <c r="AD97" s="345">
        <v>0</v>
      </c>
      <c r="AE97" s="345">
        <v>0</v>
      </c>
      <c r="AF97" s="345">
        <v>0</v>
      </c>
      <c r="AG97" s="345">
        <v>0</v>
      </c>
      <c r="AH97" s="345">
        <v>0</v>
      </c>
      <c r="AI97" s="345">
        <v>0</v>
      </c>
      <c r="AJ97" s="345">
        <v>0</v>
      </c>
      <c r="AK97" s="348">
        <v>136.08666588</v>
      </c>
      <c r="AL97">
        <v>0</v>
      </c>
      <c r="AM97">
        <v>0</v>
      </c>
      <c r="AN97">
        <v>0</v>
      </c>
      <c r="AO97">
        <v>0</v>
      </c>
      <c r="AP97">
        <v>0</v>
      </c>
      <c r="AQ97">
        <v>0</v>
      </c>
      <c r="AR97">
        <v>0</v>
      </c>
      <c r="AS97">
        <v>0</v>
      </c>
    </row>
    <row r="98" spans="1:45" hidden="1" x14ac:dyDescent="0.25">
      <c r="A98" s="284" t="s">
        <v>37</v>
      </c>
      <c r="B98" s="348">
        <v>3.9</v>
      </c>
      <c r="C98" s="348">
        <v>3.9</v>
      </c>
      <c r="D98" s="348">
        <v>1653.3058265100001</v>
      </c>
      <c r="E98" s="348">
        <v>1702.0033615</v>
      </c>
      <c r="F98" s="345">
        <v>0</v>
      </c>
      <c r="G98" s="345">
        <v>0</v>
      </c>
      <c r="H98" s="345">
        <v>0</v>
      </c>
      <c r="I98" s="345">
        <v>0</v>
      </c>
      <c r="J98" s="345">
        <v>0</v>
      </c>
      <c r="K98" s="345">
        <v>0</v>
      </c>
      <c r="L98" s="345">
        <v>0</v>
      </c>
      <c r="M98" s="345">
        <v>0</v>
      </c>
      <c r="N98" s="345">
        <v>0</v>
      </c>
      <c r="O98" s="345">
        <v>0</v>
      </c>
      <c r="P98" s="345">
        <v>0</v>
      </c>
      <c r="Q98" s="345">
        <v>0</v>
      </c>
      <c r="R98" s="345">
        <v>0</v>
      </c>
      <c r="S98" s="345">
        <v>0</v>
      </c>
      <c r="T98" s="348">
        <v>1478.22</v>
      </c>
      <c r="U98" s="345">
        <v>0</v>
      </c>
      <c r="V98" s="345">
        <v>0</v>
      </c>
      <c r="W98" s="345">
        <v>0</v>
      </c>
      <c r="X98" s="348">
        <v>223.64400000000001</v>
      </c>
      <c r="Y98" s="348">
        <v>3.9</v>
      </c>
      <c r="Z98" s="345">
        <v>0</v>
      </c>
      <c r="AA98" s="348">
        <v>1197.33</v>
      </c>
      <c r="AB98" s="348">
        <v>0.1393615</v>
      </c>
      <c r="AC98" s="348">
        <v>452.07582651000001</v>
      </c>
      <c r="AD98" s="345">
        <v>0</v>
      </c>
      <c r="AE98" s="345">
        <v>0</v>
      </c>
      <c r="AF98" s="348">
        <v>3.9</v>
      </c>
      <c r="AG98" s="348">
        <v>3.9</v>
      </c>
      <c r="AH98" s="345">
        <v>0</v>
      </c>
      <c r="AI98" s="345">
        <v>0</v>
      </c>
      <c r="AJ98" s="345">
        <v>0</v>
      </c>
      <c r="AK98" s="345">
        <v>0</v>
      </c>
      <c r="AL98">
        <v>0</v>
      </c>
      <c r="AM98">
        <v>0</v>
      </c>
      <c r="AN98">
        <v>0</v>
      </c>
      <c r="AO98">
        <v>0</v>
      </c>
      <c r="AP98">
        <v>0</v>
      </c>
      <c r="AQ98">
        <v>0</v>
      </c>
      <c r="AR98">
        <v>0</v>
      </c>
      <c r="AS98">
        <v>0</v>
      </c>
    </row>
    <row r="99" spans="1:45" hidden="1" x14ac:dyDescent="0.25">
      <c r="A99" s="284" t="s">
        <v>38</v>
      </c>
      <c r="B99" s="345">
        <v>0</v>
      </c>
      <c r="C99" s="345">
        <v>0</v>
      </c>
      <c r="D99" s="348">
        <v>87.389130890000004</v>
      </c>
      <c r="E99" s="345">
        <v>0</v>
      </c>
      <c r="F99" s="345">
        <v>0</v>
      </c>
      <c r="G99" s="345">
        <v>0</v>
      </c>
      <c r="H99" s="345">
        <v>0</v>
      </c>
      <c r="I99" s="345">
        <v>0</v>
      </c>
      <c r="J99" s="345">
        <v>0</v>
      </c>
      <c r="K99" s="345">
        <v>0</v>
      </c>
      <c r="L99" s="345">
        <v>0</v>
      </c>
      <c r="M99" s="345">
        <v>0</v>
      </c>
      <c r="N99" s="345">
        <v>0</v>
      </c>
      <c r="O99" s="345">
        <v>0</v>
      </c>
      <c r="P99" s="345">
        <v>0</v>
      </c>
      <c r="Q99" s="345">
        <v>0</v>
      </c>
      <c r="R99" s="345">
        <v>0</v>
      </c>
      <c r="S99" s="345">
        <v>0</v>
      </c>
      <c r="T99" s="348">
        <v>1478.22</v>
      </c>
      <c r="U99" s="345">
        <v>0</v>
      </c>
      <c r="V99" s="345">
        <v>0</v>
      </c>
      <c r="W99" s="345">
        <v>0</v>
      </c>
      <c r="X99" s="348">
        <v>219.744</v>
      </c>
      <c r="Y99" s="345">
        <v>0</v>
      </c>
      <c r="Z99" s="345">
        <v>0</v>
      </c>
      <c r="AA99" s="348">
        <v>1197.33</v>
      </c>
      <c r="AB99" s="345">
        <v>0</v>
      </c>
      <c r="AC99" s="348">
        <v>451.93646501000001</v>
      </c>
      <c r="AD99" s="345">
        <v>0</v>
      </c>
      <c r="AE99" s="345">
        <v>0</v>
      </c>
      <c r="AF99" s="345">
        <v>0</v>
      </c>
      <c r="AG99" s="345">
        <v>0</v>
      </c>
      <c r="AH99" s="345">
        <v>0</v>
      </c>
      <c r="AI99" s="345">
        <v>0</v>
      </c>
      <c r="AJ99" s="345">
        <v>0</v>
      </c>
      <c r="AK99" s="348">
        <v>136.08666588</v>
      </c>
      <c r="AL99">
        <v>0</v>
      </c>
      <c r="AM99">
        <v>0</v>
      </c>
      <c r="AN99">
        <v>0</v>
      </c>
      <c r="AO99">
        <v>0</v>
      </c>
      <c r="AP99">
        <v>0</v>
      </c>
      <c r="AQ99">
        <v>0</v>
      </c>
      <c r="AR99">
        <v>0</v>
      </c>
      <c r="AS99">
        <v>0</v>
      </c>
    </row>
    <row r="100" spans="1:45" x14ac:dyDescent="0.25">
      <c r="A100" s="284" t="s">
        <v>39</v>
      </c>
      <c r="B100" s="345">
        <v>0</v>
      </c>
      <c r="C100" s="345">
        <v>0</v>
      </c>
      <c r="D100" s="348">
        <v>87.389130890000004</v>
      </c>
      <c r="E100" s="345">
        <v>0</v>
      </c>
      <c r="F100" s="345">
        <v>0</v>
      </c>
      <c r="G100" s="345">
        <v>0</v>
      </c>
      <c r="H100" s="345">
        <v>0</v>
      </c>
      <c r="I100" s="345">
        <v>0</v>
      </c>
      <c r="J100" s="345">
        <v>0</v>
      </c>
      <c r="K100" s="345">
        <v>0</v>
      </c>
      <c r="L100" s="345">
        <v>0</v>
      </c>
      <c r="M100" s="345">
        <v>0</v>
      </c>
      <c r="N100" s="345">
        <v>0</v>
      </c>
      <c r="O100" s="345">
        <v>0</v>
      </c>
      <c r="P100" s="345">
        <v>0</v>
      </c>
      <c r="Q100" s="345">
        <v>0</v>
      </c>
      <c r="R100" s="345">
        <v>0</v>
      </c>
      <c r="S100" s="345">
        <v>0</v>
      </c>
      <c r="T100" s="348">
        <v>1478.22</v>
      </c>
      <c r="U100" s="345">
        <v>0</v>
      </c>
      <c r="V100" s="345">
        <v>0</v>
      </c>
      <c r="W100" s="345">
        <v>0</v>
      </c>
      <c r="X100" s="348">
        <v>219.744</v>
      </c>
      <c r="Y100" s="345">
        <v>0</v>
      </c>
      <c r="Z100" s="345">
        <v>0</v>
      </c>
      <c r="AA100" s="348">
        <v>1197.33</v>
      </c>
      <c r="AB100" s="345">
        <v>0</v>
      </c>
      <c r="AC100" s="348">
        <v>451.93646501000001</v>
      </c>
      <c r="AD100" s="345">
        <v>0</v>
      </c>
      <c r="AE100" s="345">
        <v>0</v>
      </c>
      <c r="AF100" s="345">
        <v>0</v>
      </c>
      <c r="AG100" s="345">
        <v>0</v>
      </c>
      <c r="AH100" s="345">
        <v>0</v>
      </c>
      <c r="AI100" s="345">
        <v>0</v>
      </c>
      <c r="AJ100" s="345">
        <v>0</v>
      </c>
      <c r="AK100" s="348">
        <v>136.08666588</v>
      </c>
      <c r="AM100">
        <f>SUBTOTAL(9,F100:Y100)</f>
        <v>1697.9639999999999</v>
      </c>
    </row>
    <row r="101" spans="1:45" hidden="1" x14ac:dyDescent="0.25">
      <c r="A101" s="155">
        <v>1</v>
      </c>
      <c r="B101" s="483"/>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3"/>
      <c r="AE101" s="483"/>
      <c r="AF101" s="483"/>
      <c r="AG101" s="483"/>
      <c r="AH101" s="483"/>
      <c r="AI101" s="483"/>
      <c r="AJ101" s="483"/>
      <c r="AK101" s="486"/>
    </row>
  </sheetData>
  <autoFilter ref="A10:AS101">
    <filterColumn colId="0">
      <filters>
        <filter val="Итого с начала года"/>
      </filters>
    </filterColumn>
  </autoFilter>
  <mergeCells count="28">
    <mergeCell ref="AJ9:AK9"/>
    <mergeCell ref="B8:AK8"/>
    <mergeCell ref="A2:AK2"/>
    <mergeCell ref="A3:AK3"/>
    <mergeCell ref="A4:AK4"/>
    <mergeCell ref="A5:AK5"/>
    <mergeCell ref="A6:AK6"/>
    <mergeCell ref="D7:AH7"/>
    <mergeCell ref="AI7:AJ7"/>
    <mergeCell ref="A7:C7"/>
    <mergeCell ref="A8:A10"/>
    <mergeCell ref="N9:O9"/>
    <mergeCell ref="L9:M9"/>
    <mergeCell ref="T9:U9"/>
    <mergeCell ref="F9:G9"/>
    <mergeCell ref="B9:C9"/>
    <mergeCell ref="AH9:AI9"/>
    <mergeCell ref="D9:E9"/>
    <mergeCell ref="AD9:AE9"/>
    <mergeCell ref="AF9:AG9"/>
    <mergeCell ref="H9:I9"/>
    <mergeCell ref="R9:S9"/>
    <mergeCell ref="J9:K9"/>
    <mergeCell ref="AB9:AC9"/>
    <mergeCell ref="P9:Q9"/>
    <mergeCell ref="V9:W9"/>
    <mergeCell ref="Z9:AA9"/>
    <mergeCell ref="X9:Y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7"/>
  <sheetViews>
    <sheetView view="pageBreakPreview" zoomScale="70" zoomScaleSheetLayoutView="70" workbookViewId="0">
      <pane xSplit="2" ySplit="6" topLeftCell="C7" activePane="bottomRight" state="frozen"/>
      <selection activeCell="A7" sqref="A7:C7"/>
      <selection pane="topRight" activeCell="A7" sqref="A7:C7"/>
      <selection pane="bottomLeft" activeCell="A7" sqref="A7:C7"/>
      <selection pane="bottomRight" activeCell="G23" sqref="G23:J23"/>
    </sheetView>
  </sheetViews>
  <sheetFormatPr defaultRowHeight="15" x14ac:dyDescent="0.25"/>
  <cols>
    <col min="1" max="1" width="6.140625" style="45" customWidth="1"/>
    <col min="2" max="2" width="32.85546875" style="45" customWidth="1"/>
    <col min="3" max="3" width="22.42578125" style="45" customWidth="1"/>
    <col min="4" max="4" width="18.42578125" style="45" customWidth="1"/>
    <col min="5" max="5" width="19.85546875" style="45" customWidth="1"/>
    <col min="6" max="6" width="14.7109375" style="45" bestFit="1" customWidth="1"/>
    <col min="7" max="7" width="22.42578125" style="45" customWidth="1"/>
    <col min="8" max="8" width="19.85546875" style="45" customWidth="1"/>
    <col min="9" max="9" width="20.7109375" style="45" customWidth="1"/>
    <col min="10" max="10" width="14.7109375" style="45" bestFit="1" customWidth="1"/>
    <col min="11" max="12" width="9.140625" style="45"/>
    <col min="13" max="13" width="15.140625" style="45" bestFit="1" customWidth="1"/>
    <col min="14" max="14" width="12.42578125" style="45" bestFit="1" customWidth="1"/>
    <col min="15" max="16384" width="9.140625" style="45"/>
  </cols>
  <sheetData>
    <row r="1" spans="1:24" ht="22.5" x14ac:dyDescent="0.25">
      <c r="A1" s="44"/>
      <c r="B1" s="781" t="s">
        <v>92</v>
      </c>
      <c r="C1" s="781"/>
      <c r="D1" s="781"/>
      <c r="E1" s="781"/>
      <c r="F1" s="781"/>
      <c r="G1" s="781"/>
      <c r="H1" s="781"/>
      <c r="I1" s="781"/>
      <c r="J1" s="781"/>
    </row>
    <row r="2" spans="1:24" ht="22.5" x14ac:dyDescent="0.25">
      <c r="A2" s="44"/>
      <c r="B2" s="781" t="s">
        <v>19</v>
      </c>
      <c r="C2" s="781"/>
      <c r="D2" s="781"/>
      <c r="E2" s="781"/>
      <c r="F2" s="781"/>
      <c r="G2" s="781"/>
      <c r="H2" s="781"/>
      <c r="I2" s="781"/>
      <c r="J2" s="781"/>
    </row>
    <row r="3" spans="1:24" ht="23.25" thickBot="1" x14ac:dyDescent="0.3">
      <c r="A3" s="763" t="str">
        <f>+'2023 йил'!A3:B3</f>
        <v>29.12.2023 йил ҳолатига</v>
      </c>
      <c r="B3" s="763"/>
      <c r="C3" s="117"/>
      <c r="D3" s="117"/>
      <c r="E3" s="117"/>
      <c r="F3" s="117"/>
      <c r="G3" s="117"/>
      <c r="H3" s="117"/>
      <c r="I3" s="117"/>
      <c r="J3" s="73" t="s">
        <v>77</v>
      </c>
    </row>
    <row r="4" spans="1:24" s="46" customFormat="1" ht="18.75" customHeight="1" x14ac:dyDescent="0.25">
      <c r="A4" s="770" t="s">
        <v>0</v>
      </c>
      <c r="B4" s="771" t="s">
        <v>4</v>
      </c>
      <c r="C4" s="619" t="s">
        <v>2</v>
      </c>
      <c r="D4" s="623"/>
      <c r="E4" s="623"/>
      <c r="F4" s="622"/>
      <c r="G4" s="756" t="s">
        <v>1</v>
      </c>
      <c r="H4" s="623"/>
      <c r="I4" s="623"/>
      <c r="J4" s="622"/>
    </row>
    <row r="5" spans="1:24" ht="18.75" customHeight="1" x14ac:dyDescent="0.25">
      <c r="A5" s="757"/>
      <c r="B5" s="772"/>
      <c r="C5" s="757" t="s">
        <v>75</v>
      </c>
      <c r="D5" s="759" t="s">
        <v>5</v>
      </c>
      <c r="E5" s="759"/>
      <c r="F5" s="760"/>
      <c r="G5" s="757" t="s">
        <v>75</v>
      </c>
      <c r="H5" s="759" t="s">
        <v>5</v>
      </c>
      <c r="I5" s="759"/>
      <c r="J5" s="760"/>
    </row>
    <row r="6" spans="1:24" ht="38.25" customHeight="1" thickBot="1" x14ac:dyDescent="0.3">
      <c r="A6" s="758"/>
      <c r="B6" s="773"/>
      <c r="C6" s="758"/>
      <c r="D6" s="130" t="s">
        <v>122</v>
      </c>
      <c r="E6" s="130" t="s">
        <v>123</v>
      </c>
      <c r="F6" s="131" t="s">
        <v>121</v>
      </c>
      <c r="G6" s="758"/>
      <c r="H6" s="130" t="s">
        <v>122</v>
      </c>
      <c r="I6" s="130" t="s">
        <v>123</v>
      </c>
      <c r="J6" s="131" t="s">
        <v>121</v>
      </c>
      <c r="L6" s="27" t="s">
        <v>145</v>
      </c>
      <c r="M6" s="27"/>
    </row>
    <row r="7" spans="1:24" ht="23.25" thickBot="1" x14ac:dyDescent="0.3">
      <c r="A7" s="761" t="s">
        <v>3</v>
      </c>
      <c r="B7" s="762"/>
      <c r="C7" s="133">
        <f>SUM(C8:C21)</f>
        <v>74347.994296410005</v>
      </c>
      <c r="D7" s="134">
        <f t="shared" ref="D7:J7" si="0">SUM(D8:D21)</f>
        <v>45069.900277000001</v>
      </c>
      <c r="E7" s="134">
        <f t="shared" si="0"/>
        <v>28998.923447370002</v>
      </c>
      <c r="F7" s="135">
        <f t="shared" si="0"/>
        <v>279.17057203999997</v>
      </c>
      <c r="G7" s="133">
        <f t="shared" si="0"/>
        <v>68730.1146133</v>
      </c>
      <c r="H7" s="134">
        <f t="shared" si="0"/>
        <v>39155.422716000001</v>
      </c>
      <c r="I7" s="134">
        <f t="shared" si="0"/>
        <v>29182.378913479995</v>
      </c>
      <c r="J7" s="135">
        <f t="shared" si="0"/>
        <v>392.31298382000006</v>
      </c>
      <c r="L7" s="258">
        <f>+C7+G7-'2020 йил'!D7-'2020 йил'!O7-'2021 йил'!D7-'2021 йил'!O7-'2022 йил'!D7-'2022 йил'!L7-'2023 йил'!D7-'2023 йил'!K7</f>
        <v>0</v>
      </c>
      <c r="M7" s="48"/>
      <c r="N7" s="49"/>
      <c r="O7" s="48"/>
      <c r="U7" s="48"/>
      <c r="V7" s="48"/>
      <c r="W7" s="48"/>
      <c r="X7" s="48"/>
    </row>
    <row r="8" spans="1:24" s="54" customFormat="1" ht="23.25" x14ac:dyDescent="0.25">
      <c r="A8" s="50">
        <v>1</v>
      </c>
      <c r="B8" s="51" t="s">
        <v>180</v>
      </c>
      <c r="C8" s="139">
        <f t="shared" ref="C8:C21" si="1">+D8+E8+F8</f>
        <v>1692.42</v>
      </c>
      <c r="D8" s="140">
        <f t="shared" ref="D8:F21" si="2">+D46+D65+D84+D27</f>
        <v>1692.42</v>
      </c>
      <c r="E8" s="140">
        <f t="shared" si="2"/>
        <v>0</v>
      </c>
      <c r="F8" s="141">
        <f t="shared" si="2"/>
        <v>0</v>
      </c>
      <c r="G8" s="139">
        <f t="shared" ref="G8:G21" si="3">+H8+I8+J8</f>
        <v>1674.8</v>
      </c>
      <c r="H8" s="140">
        <f t="shared" ref="H8:J21" si="4">+H46+H65+H84+H27</f>
        <v>1674.8</v>
      </c>
      <c r="I8" s="140">
        <f t="shared" si="4"/>
        <v>0</v>
      </c>
      <c r="J8" s="141">
        <f t="shared" si="4"/>
        <v>0</v>
      </c>
      <c r="L8" s="258">
        <f>+C8+G8-'2020 йил'!D8-'2020 йил'!O8-'2021 йил'!D8-'2021 йил'!O8-'2022 йил'!D8-'2022 йил'!L8-'2023 йил'!D8-'2023 йил'!K8</f>
        <v>1674.8000000000004</v>
      </c>
      <c r="M8" s="48"/>
      <c r="N8" s="53"/>
      <c r="O8" s="48"/>
      <c r="R8" s="53"/>
      <c r="U8" s="48"/>
      <c r="V8" s="48"/>
      <c r="W8" s="48"/>
      <c r="X8" s="48"/>
    </row>
    <row r="9" spans="1:24" s="54" customFormat="1" ht="23.25" x14ac:dyDescent="0.25">
      <c r="A9" s="50">
        <v>2</v>
      </c>
      <c r="B9" s="51" t="s">
        <v>6</v>
      </c>
      <c r="C9" s="139">
        <f t="shared" si="1"/>
        <v>9637.9381747100015</v>
      </c>
      <c r="D9" s="140">
        <f t="shared" si="2"/>
        <v>3162.8</v>
      </c>
      <c r="E9" s="140">
        <f t="shared" si="2"/>
        <v>6449.4907516399999</v>
      </c>
      <c r="F9" s="141">
        <f t="shared" si="2"/>
        <v>25.647423069999999</v>
      </c>
      <c r="G9" s="139">
        <f t="shared" si="3"/>
        <v>9369.4130194499994</v>
      </c>
      <c r="H9" s="140">
        <f t="shared" si="4"/>
        <v>2866.47858</v>
      </c>
      <c r="I9" s="140">
        <f t="shared" si="4"/>
        <v>6488.3293008500004</v>
      </c>
      <c r="J9" s="141">
        <f t="shared" si="4"/>
        <v>14.6051386</v>
      </c>
      <c r="L9" s="258">
        <f>+C9+G9-'2020 йил'!D9-'2020 йил'!O9-'2021 йил'!D9-'2021 йил'!O9-'2022 йил'!D9-'2022 йил'!L9-'2023 йил'!D9-'2023 йил'!K9</f>
        <v>-336.76800000000094</v>
      </c>
      <c r="M9" s="48"/>
      <c r="N9" s="53"/>
      <c r="O9" s="48"/>
      <c r="R9" s="53"/>
      <c r="U9" s="48"/>
      <c r="V9" s="48"/>
      <c r="W9" s="48"/>
      <c r="X9" s="48"/>
    </row>
    <row r="10" spans="1:24" s="54" customFormat="1" ht="23.25" x14ac:dyDescent="0.25">
      <c r="A10" s="175">
        <v>3</v>
      </c>
      <c r="B10" s="55" t="s">
        <v>7</v>
      </c>
      <c r="C10" s="139">
        <f t="shared" si="1"/>
        <v>5502.7810700300006</v>
      </c>
      <c r="D10" s="140">
        <f t="shared" si="2"/>
        <v>3835.9930000000004</v>
      </c>
      <c r="E10" s="140">
        <f t="shared" si="2"/>
        <v>1662.3399786600003</v>
      </c>
      <c r="F10" s="141">
        <f t="shared" si="2"/>
        <v>4.4480913700000002</v>
      </c>
      <c r="G10" s="139">
        <f t="shared" si="3"/>
        <v>4868.005804639999</v>
      </c>
      <c r="H10" s="140">
        <f t="shared" si="4"/>
        <v>3195.3379999999997</v>
      </c>
      <c r="I10" s="140">
        <f t="shared" si="4"/>
        <v>1672.6540746399999</v>
      </c>
      <c r="J10" s="141">
        <f t="shared" si="4"/>
        <v>1.3729999999999999E-2</v>
      </c>
      <c r="L10" s="258">
        <f>+C10+G10-'2020 йил'!D10-'2020 йил'!O10-'2021 йил'!D10-'2021 йил'!O10-'2022 йил'!D10-'2022 йил'!L10-'2023 йил'!D10-'2023 йил'!K10</f>
        <v>93.03800000000092</v>
      </c>
      <c r="M10" s="48"/>
      <c r="N10" s="53"/>
      <c r="O10" s="48"/>
      <c r="R10" s="53"/>
      <c r="U10" s="48"/>
      <c r="V10" s="48"/>
      <c r="W10" s="48"/>
      <c r="X10" s="48"/>
    </row>
    <row r="11" spans="1:24" s="54" customFormat="1" ht="23.25" x14ac:dyDescent="0.25">
      <c r="A11" s="50">
        <v>4</v>
      </c>
      <c r="B11" s="55" t="s">
        <v>8</v>
      </c>
      <c r="C11" s="139">
        <f t="shared" si="1"/>
        <v>5808.6755379299993</v>
      </c>
      <c r="D11" s="140">
        <f t="shared" si="2"/>
        <v>3916.1849999999995</v>
      </c>
      <c r="E11" s="140">
        <f t="shared" si="2"/>
        <v>1790.71633471</v>
      </c>
      <c r="F11" s="141">
        <f t="shared" si="2"/>
        <v>101.77420322</v>
      </c>
      <c r="G11" s="139">
        <f t="shared" si="3"/>
        <v>5315.5527823499997</v>
      </c>
      <c r="H11" s="140">
        <f t="shared" si="4"/>
        <v>3414.049</v>
      </c>
      <c r="I11" s="140">
        <f t="shared" si="4"/>
        <v>1801.5037823500002</v>
      </c>
      <c r="J11" s="141">
        <f t="shared" si="4"/>
        <v>100</v>
      </c>
      <c r="L11" s="258">
        <f>+C11+G11-'2020 йил'!D11-'2020 йил'!O11-'2021 йил'!D11-'2021 йил'!O11-'2022 йил'!D11-'2022 йил'!L11-'2023 йил'!D11-'2023 йил'!K11</f>
        <v>-260.65600000000131</v>
      </c>
      <c r="M11" s="48"/>
      <c r="N11" s="53"/>
      <c r="O11" s="48"/>
      <c r="R11" s="53"/>
      <c r="U11" s="48"/>
      <c r="V11" s="48"/>
      <c r="W11" s="48"/>
      <c r="X11" s="48"/>
    </row>
    <row r="12" spans="1:24" s="54" customFormat="1" ht="23.25" x14ac:dyDescent="0.25">
      <c r="A12" s="175">
        <v>5</v>
      </c>
      <c r="B12" s="55" t="s">
        <v>9</v>
      </c>
      <c r="C12" s="139">
        <f t="shared" si="1"/>
        <v>5031.2500600099993</v>
      </c>
      <c r="D12" s="140">
        <f t="shared" si="2"/>
        <v>3037.2139999999999</v>
      </c>
      <c r="E12" s="140">
        <f t="shared" si="2"/>
        <v>1991.93006001</v>
      </c>
      <c r="F12" s="141">
        <f t="shared" si="2"/>
        <v>2.1059999999999999</v>
      </c>
      <c r="G12" s="139">
        <f t="shared" si="3"/>
        <v>5396.39163878</v>
      </c>
      <c r="H12" s="140">
        <f t="shared" si="4"/>
        <v>3392.4520000000002</v>
      </c>
      <c r="I12" s="140">
        <f t="shared" si="4"/>
        <v>2003.92963878</v>
      </c>
      <c r="J12" s="141">
        <f t="shared" si="4"/>
        <v>0.01</v>
      </c>
      <c r="L12" s="258">
        <f>+C12+G12-'2020 йил'!D12-'2020 йил'!O12-'2021 йил'!D12-'2021 йил'!O12-'2022 йил'!D12-'2022 йил'!L12-'2023 йил'!D12-'2023 йил'!K12</f>
        <v>130.53800000000047</v>
      </c>
      <c r="M12" s="48"/>
      <c r="N12" s="53"/>
      <c r="O12" s="48"/>
      <c r="R12" s="53"/>
      <c r="U12" s="48"/>
      <c r="V12" s="48"/>
      <c r="W12" s="48"/>
      <c r="X12" s="48"/>
    </row>
    <row r="13" spans="1:24" s="54" customFormat="1" ht="23.25" x14ac:dyDescent="0.25">
      <c r="A13" s="50">
        <v>6</v>
      </c>
      <c r="B13" s="55" t="s">
        <v>10</v>
      </c>
      <c r="C13" s="139">
        <f t="shared" si="1"/>
        <v>6894.3932507199997</v>
      </c>
      <c r="D13" s="140">
        <f t="shared" si="2"/>
        <v>3237.6769999999997</v>
      </c>
      <c r="E13" s="140">
        <f t="shared" si="2"/>
        <v>3656.7162507200001</v>
      </c>
      <c r="F13" s="141">
        <f t="shared" si="2"/>
        <v>0</v>
      </c>
      <c r="G13" s="139">
        <f t="shared" si="3"/>
        <v>5762.2093525700002</v>
      </c>
      <c r="H13" s="140">
        <f t="shared" si="4"/>
        <v>1945.6</v>
      </c>
      <c r="I13" s="140">
        <f t="shared" si="4"/>
        <v>3679.0093525700004</v>
      </c>
      <c r="J13" s="141">
        <f t="shared" si="4"/>
        <v>137.6</v>
      </c>
      <c r="L13" s="258">
        <f>+C13+G13-'2020 йил'!D13-'2020 йил'!O13-'2021 йил'!D13-'2021 йил'!O13-'2022 йил'!D13-'2022 йил'!L13-'2023 йил'!D13-'2023 йил'!K13</f>
        <v>-274.35199999999895</v>
      </c>
      <c r="M13" s="48"/>
      <c r="N13" s="53"/>
      <c r="O13" s="48"/>
      <c r="R13" s="53"/>
      <c r="U13" s="48"/>
      <c r="V13" s="48"/>
      <c r="W13" s="48"/>
      <c r="X13" s="48"/>
    </row>
    <row r="14" spans="1:24" s="54" customFormat="1" ht="23.25" x14ac:dyDescent="0.25">
      <c r="A14" s="175">
        <v>7</v>
      </c>
      <c r="B14" s="55" t="s">
        <v>11</v>
      </c>
      <c r="C14" s="139">
        <f t="shared" si="1"/>
        <v>5715.5052257099996</v>
      </c>
      <c r="D14" s="140">
        <f t="shared" si="2"/>
        <v>3353.6</v>
      </c>
      <c r="E14" s="140">
        <f t="shared" si="2"/>
        <v>2361.2535747100001</v>
      </c>
      <c r="F14" s="141">
        <f t="shared" si="2"/>
        <v>0.65165099999999998</v>
      </c>
      <c r="G14" s="139">
        <f t="shared" si="3"/>
        <v>6172.2246260100001</v>
      </c>
      <c r="H14" s="140">
        <f t="shared" si="4"/>
        <v>3761</v>
      </c>
      <c r="I14" s="140">
        <f t="shared" si="4"/>
        <v>2375.4779654099998</v>
      </c>
      <c r="J14" s="141">
        <f t="shared" si="4"/>
        <v>35.746660600000006</v>
      </c>
      <c r="L14" s="258">
        <f>+C14+G14-'2020 йил'!D14-'2020 йил'!O14-'2021 йил'!D14-'2021 йил'!O14-'2022 йил'!D14-'2022 йил'!L14-'2023 йил'!D14-'2023 йил'!K14</f>
        <v>81.40000000000191</v>
      </c>
      <c r="M14" s="48"/>
      <c r="N14" s="53"/>
      <c r="O14" s="48"/>
      <c r="R14" s="53"/>
      <c r="U14" s="48"/>
      <c r="V14" s="48"/>
      <c r="W14" s="48"/>
      <c r="X14" s="48"/>
    </row>
    <row r="15" spans="1:24" s="54" customFormat="1" ht="23.25" x14ac:dyDescent="0.25">
      <c r="A15" s="50">
        <v>8</v>
      </c>
      <c r="B15" s="55" t="s">
        <v>12</v>
      </c>
      <c r="C15" s="139">
        <f t="shared" si="1"/>
        <v>6437.2031579499999</v>
      </c>
      <c r="D15" s="140">
        <f t="shared" si="2"/>
        <v>4076.7689999999998</v>
      </c>
      <c r="E15" s="140">
        <f t="shared" si="2"/>
        <v>2355.7923904200002</v>
      </c>
      <c r="F15" s="141">
        <f t="shared" si="2"/>
        <v>4.6417675300000001</v>
      </c>
      <c r="G15" s="139">
        <f t="shared" si="3"/>
        <v>6762.4566397899998</v>
      </c>
      <c r="H15" s="140">
        <f t="shared" si="4"/>
        <v>4389.0395360000002</v>
      </c>
      <c r="I15" s="140">
        <f t="shared" si="4"/>
        <v>2369.9837972799996</v>
      </c>
      <c r="J15" s="141">
        <f t="shared" si="4"/>
        <v>3.43330651</v>
      </c>
      <c r="L15" s="258">
        <f>+C15+G15-'2020 йил'!D15-'2020 йил'!O15-'2021 йил'!D15-'2021 йил'!O15-'2022 йил'!D15-'2022 йил'!L15-'2023 йил'!D15-'2023 йил'!K15</f>
        <v>-16.000000000002728</v>
      </c>
      <c r="M15" s="48"/>
      <c r="N15" s="53"/>
      <c r="O15" s="48"/>
      <c r="R15" s="53"/>
      <c r="U15" s="48"/>
      <c r="V15" s="48"/>
      <c r="W15" s="48"/>
      <c r="X15" s="48"/>
    </row>
    <row r="16" spans="1:24" s="54" customFormat="1" ht="23.25" x14ac:dyDescent="0.25">
      <c r="A16" s="175">
        <v>9</v>
      </c>
      <c r="B16" s="55" t="s">
        <v>13</v>
      </c>
      <c r="C16" s="139">
        <f t="shared" si="1"/>
        <v>4754.9311121399996</v>
      </c>
      <c r="D16" s="140">
        <f t="shared" si="2"/>
        <v>2895.7366769999999</v>
      </c>
      <c r="E16" s="140">
        <f t="shared" si="2"/>
        <v>1854.61286105</v>
      </c>
      <c r="F16" s="141">
        <f t="shared" si="2"/>
        <v>4.5815740900000002</v>
      </c>
      <c r="G16" s="139">
        <f t="shared" si="3"/>
        <v>4905.0852273600003</v>
      </c>
      <c r="H16" s="140">
        <f t="shared" si="4"/>
        <v>3039.2</v>
      </c>
      <c r="I16" s="140">
        <f t="shared" si="4"/>
        <v>1865.7852273600001</v>
      </c>
      <c r="J16" s="141">
        <f t="shared" si="4"/>
        <v>0.1</v>
      </c>
      <c r="L16" s="258">
        <f>+C16+G16-'2020 йил'!D16-'2020 йил'!O16-'2021 йил'!D16-'2021 йил'!O16-'2022 йил'!D16-'2022 йил'!L16-'2023 йил'!D16-'2023 йил'!K16</f>
        <v>111.19999999999845</v>
      </c>
      <c r="M16" s="48"/>
      <c r="N16" s="53"/>
      <c r="O16" s="48"/>
      <c r="R16" s="53"/>
      <c r="U16" s="48"/>
      <c r="V16" s="48"/>
      <c r="W16" s="48"/>
      <c r="X16" s="48"/>
    </row>
    <row r="17" spans="1:24" s="54" customFormat="1" ht="23.25" x14ac:dyDescent="0.25">
      <c r="A17" s="50">
        <v>10</v>
      </c>
      <c r="B17" s="55" t="s">
        <v>14</v>
      </c>
      <c r="C17" s="139">
        <f t="shared" si="1"/>
        <v>4147.81514281</v>
      </c>
      <c r="D17" s="140">
        <f t="shared" si="2"/>
        <v>2593.9106000000002</v>
      </c>
      <c r="E17" s="140">
        <f t="shared" si="2"/>
        <v>1546.60784281</v>
      </c>
      <c r="F17" s="141">
        <f t="shared" si="2"/>
        <v>7.2966999999999995</v>
      </c>
      <c r="G17" s="139">
        <f t="shared" si="3"/>
        <v>3629.14301256</v>
      </c>
      <c r="H17" s="140">
        <f t="shared" si="4"/>
        <v>2072.4555999999998</v>
      </c>
      <c r="I17" s="140">
        <f t="shared" si="4"/>
        <v>1555.92326445</v>
      </c>
      <c r="J17" s="141">
        <f t="shared" si="4"/>
        <v>0.76414810999999994</v>
      </c>
      <c r="L17" s="258">
        <f>+C17+G17-'2020 йил'!D17-'2020 йил'!O17-'2021 йил'!D17-'2021 йил'!O17-'2022 йил'!D17-'2022 йил'!L17-'2023 йил'!D17-'2023 йил'!K17</f>
        <v>-502.89499999999953</v>
      </c>
      <c r="M17" s="48"/>
      <c r="N17" s="53"/>
      <c r="O17" s="48"/>
      <c r="R17" s="53"/>
      <c r="U17" s="48"/>
      <c r="V17" s="48"/>
      <c r="W17" s="48"/>
      <c r="X17" s="48"/>
    </row>
    <row r="18" spans="1:24" s="54" customFormat="1" ht="23.25" x14ac:dyDescent="0.25">
      <c r="A18" s="175">
        <v>11</v>
      </c>
      <c r="B18" s="55" t="s">
        <v>15</v>
      </c>
      <c r="C18" s="139">
        <f t="shared" si="1"/>
        <v>4717.0314498600001</v>
      </c>
      <c r="D18" s="140">
        <f t="shared" si="2"/>
        <v>3426.585</v>
      </c>
      <c r="E18" s="140">
        <f t="shared" si="2"/>
        <v>1286.3906898599998</v>
      </c>
      <c r="F18" s="141">
        <f t="shared" si="2"/>
        <v>4.0557600000000003</v>
      </c>
      <c r="G18" s="139">
        <f t="shared" si="3"/>
        <v>3501.7300314900003</v>
      </c>
      <c r="H18" s="140">
        <f t="shared" si="4"/>
        <v>2207.5500000000002</v>
      </c>
      <c r="I18" s="140">
        <f t="shared" si="4"/>
        <v>1294.1400314900002</v>
      </c>
      <c r="J18" s="141">
        <f t="shared" si="4"/>
        <v>0.04</v>
      </c>
      <c r="L18" s="258">
        <f>+C18+G18-'2020 йил'!D18-'2020 йил'!O18-'2021 йил'!D18-'2021 йил'!O18-'2022 йил'!D18-'2022 йил'!L18-'2023 йил'!D18-'2023 йил'!K18</f>
        <v>612.2450000000008</v>
      </c>
      <c r="M18" s="48"/>
      <c r="N18" s="53"/>
      <c r="O18" s="48"/>
      <c r="R18" s="53"/>
      <c r="U18" s="48"/>
      <c r="V18" s="48"/>
      <c r="W18" s="48"/>
      <c r="X18" s="48"/>
    </row>
    <row r="19" spans="1:24" s="54" customFormat="1" ht="23.25" x14ac:dyDescent="0.25">
      <c r="A19" s="50">
        <v>12</v>
      </c>
      <c r="B19" s="55" t="s">
        <v>16</v>
      </c>
      <c r="C19" s="139">
        <f t="shared" si="1"/>
        <v>4886.4781457899999</v>
      </c>
      <c r="D19" s="140">
        <f t="shared" si="2"/>
        <v>3201.05</v>
      </c>
      <c r="E19" s="140">
        <f t="shared" si="2"/>
        <v>1685.4031457899998</v>
      </c>
      <c r="F19" s="141">
        <f t="shared" si="2"/>
        <v>2.5000000000000001E-2</v>
      </c>
      <c r="G19" s="139">
        <f t="shared" si="3"/>
        <v>4276.9501769199996</v>
      </c>
      <c r="H19" s="140">
        <f t="shared" si="4"/>
        <v>2573.5699999999997</v>
      </c>
      <c r="I19" s="140">
        <f t="shared" si="4"/>
        <v>1703.3801769199999</v>
      </c>
      <c r="J19" s="141">
        <f t="shared" si="4"/>
        <v>0</v>
      </c>
      <c r="L19" s="258">
        <f>+C19+G19-'2020 йил'!D19-'2020 йил'!O19-'2021 йил'!D19-'2021 йил'!O19-'2022 йил'!D19-'2022 йил'!L19-'2023 йил'!D19-'2023 йил'!K19</f>
        <v>-123.98000000000184</v>
      </c>
      <c r="M19" s="48"/>
      <c r="N19" s="53"/>
      <c r="O19" s="48"/>
      <c r="R19" s="53"/>
      <c r="U19" s="48"/>
      <c r="V19" s="48"/>
      <c r="W19" s="48"/>
      <c r="X19" s="48"/>
    </row>
    <row r="20" spans="1:24" s="54" customFormat="1" ht="23.25" x14ac:dyDescent="0.25">
      <c r="A20" s="175">
        <v>13</v>
      </c>
      <c r="B20" s="55" t="s">
        <v>17</v>
      </c>
      <c r="C20" s="139">
        <f t="shared" si="1"/>
        <v>4758.1633357600003</v>
      </c>
      <c r="D20" s="140">
        <f t="shared" si="2"/>
        <v>3276.21</v>
      </c>
      <c r="E20" s="140">
        <f t="shared" si="2"/>
        <v>1381.9533357600001</v>
      </c>
      <c r="F20" s="141">
        <f t="shared" si="2"/>
        <v>100</v>
      </c>
      <c r="G20" s="139">
        <f t="shared" si="3"/>
        <v>4498.6382614900003</v>
      </c>
      <c r="H20" s="140">
        <f t="shared" si="4"/>
        <v>3007.9700000000003</v>
      </c>
      <c r="I20" s="140">
        <f t="shared" si="4"/>
        <v>1390.6682614900001</v>
      </c>
      <c r="J20" s="141">
        <f t="shared" si="4"/>
        <v>100</v>
      </c>
      <c r="L20" s="258">
        <f>+C20+G20-'2020 йил'!D20-'2020 йил'!O20-'2021 йил'!D20-'2021 йил'!O20-'2022 йил'!D20-'2022 йил'!L20-'2023 йил'!D20-'2023 йил'!K20</f>
        <v>8.7600000000009004</v>
      </c>
      <c r="M20" s="48"/>
      <c r="N20" s="53"/>
      <c r="O20" s="48"/>
      <c r="R20" s="53"/>
      <c r="U20" s="48"/>
      <c r="V20" s="48"/>
      <c r="W20" s="48"/>
      <c r="X20" s="48"/>
    </row>
    <row r="21" spans="1:24" s="54" customFormat="1" ht="24" thickBot="1" x14ac:dyDescent="0.3">
      <c r="A21" s="251">
        <v>14</v>
      </c>
      <c r="B21" s="56" t="s">
        <v>18</v>
      </c>
      <c r="C21" s="142">
        <f t="shared" si="1"/>
        <v>4363.4086329900001</v>
      </c>
      <c r="D21" s="143">
        <f t="shared" si="2"/>
        <v>3363.75</v>
      </c>
      <c r="E21" s="143">
        <f t="shared" si="2"/>
        <v>975.71623122999995</v>
      </c>
      <c r="F21" s="144">
        <f t="shared" si="2"/>
        <v>23.942401760000003</v>
      </c>
      <c r="G21" s="142">
        <f t="shared" si="3"/>
        <v>2597.5140398900003</v>
      </c>
      <c r="H21" s="143">
        <f t="shared" si="4"/>
        <v>1615.92</v>
      </c>
      <c r="I21" s="143">
        <f t="shared" si="4"/>
        <v>981.59403989000009</v>
      </c>
      <c r="J21" s="144">
        <f t="shared" si="4"/>
        <v>0</v>
      </c>
      <c r="L21" s="258">
        <f>+C21+G21-'2020 йил'!D21-'2020 йил'!O21-'2021 йил'!D21-'2021 йил'!O21-'2022 йил'!D21-'2022 йил'!L21-'2023 йил'!D21-'2023 йил'!K21</f>
        <v>-1197.3300000000004</v>
      </c>
      <c r="M21" s="48"/>
      <c r="N21" s="53"/>
      <c r="O21" s="48"/>
      <c r="R21" s="53"/>
      <c r="U21" s="48"/>
      <c r="V21" s="48"/>
      <c r="W21" s="48"/>
      <c r="X21" s="48"/>
    </row>
    <row r="22" spans="1:24" s="54" customFormat="1" ht="24" thickBot="1" x14ac:dyDescent="0.3">
      <c r="A22" s="160"/>
      <c r="B22" s="158" t="s">
        <v>129</v>
      </c>
      <c r="C22" s="161"/>
      <c r="D22" s="162"/>
      <c r="E22" s="162"/>
      <c r="F22" s="162"/>
      <c r="G22" s="161"/>
      <c r="H22" s="162"/>
      <c r="I22" s="162"/>
      <c r="J22" s="162"/>
      <c r="L22" s="48"/>
      <c r="M22" s="48"/>
      <c r="N22" s="53"/>
      <c r="O22" s="48"/>
      <c r="R22" s="53"/>
      <c r="U22" s="48"/>
      <c r="V22" s="48"/>
      <c r="W22" s="48"/>
      <c r="X22" s="48"/>
    </row>
    <row r="23" spans="1:24" s="54" customFormat="1" ht="18.75" x14ac:dyDescent="0.25">
      <c r="A23" s="770" t="s">
        <v>0</v>
      </c>
      <c r="B23" s="771" t="s">
        <v>4</v>
      </c>
      <c r="C23" s="619" t="s">
        <v>2</v>
      </c>
      <c r="D23" s="623"/>
      <c r="E23" s="623"/>
      <c r="F23" s="622"/>
      <c r="G23" s="756" t="s">
        <v>1</v>
      </c>
      <c r="H23" s="623"/>
      <c r="I23" s="623"/>
      <c r="J23" s="622"/>
      <c r="L23" s="48"/>
      <c r="M23" s="48"/>
      <c r="N23" s="53"/>
      <c r="O23" s="48"/>
      <c r="R23" s="53"/>
      <c r="U23" s="48"/>
      <c r="V23" s="48"/>
      <c r="W23" s="48"/>
      <c r="X23" s="48"/>
    </row>
    <row r="24" spans="1:24" s="54" customFormat="1" ht="18.75" x14ac:dyDescent="0.25">
      <c r="A24" s="757"/>
      <c r="B24" s="772"/>
      <c r="C24" s="757" t="s">
        <v>75</v>
      </c>
      <c r="D24" s="759" t="s">
        <v>5</v>
      </c>
      <c r="E24" s="759"/>
      <c r="F24" s="760"/>
      <c r="G24" s="757" t="s">
        <v>75</v>
      </c>
      <c r="H24" s="759" t="s">
        <v>5</v>
      </c>
      <c r="I24" s="759"/>
      <c r="J24" s="760"/>
      <c r="L24" s="48"/>
      <c r="M24" s="48"/>
      <c r="N24" s="53"/>
      <c r="O24" s="48"/>
      <c r="R24" s="53"/>
      <c r="U24" s="48"/>
      <c r="V24" s="48"/>
      <c r="W24" s="48"/>
      <c r="X24" s="48"/>
    </row>
    <row r="25" spans="1:24" s="54" customFormat="1" ht="38.25" thickBot="1" x14ac:dyDescent="0.3">
      <c r="A25" s="758"/>
      <c r="B25" s="773"/>
      <c r="C25" s="758"/>
      <c r="D25" s="130" t="s">
        <v>122</v>
      </c>
      <c r="E25" s="130" t="s">
        <v>123</v>
      </c>
      <c r="F25" s="131" t="s">
        <v>121</v>
      </c>
      <c r="G25" s="758"/>
      <c r="H25" s="130" t="s">
        <v>122</v>
      </c>
      <c r="I25" s="130" t="s">
        <v>123</v>
      </c>
      <c r="J25" s="131" t="s">
        <v>121</v>
      </c>
      <c r="L25" s="48"/>
      <c r="M25" s="48"/>
      <c r="N25" s="53"/>
      <c r="O25" s="48"/>
      <c r="R25" s="53"/>
      <c r="U25" s="48"/>
      <c r="V25" s="48"/>
      <c r="W25" s="48"/>
      <c r="X25" s="48"/>
    </row>
    <row r="26" spans="1:24" s="54" customFormat="1" ht="23.25" thickBot="1" x14ac:dyDescent="0.3">
      <c r="A26" s="761" t="s">
        <v>3</v>
      </c>
      <c r="B26" s="762"/>
      <c r="C26" s="133">
        <f>SUM(C27:C40)</f>
        <v>30193.793632660003</v>
      </c>
      <c r="D26" s="134">
        <f t="shared" ref="D26:J26" si="5">SUM(D27:D40)</f>
        <v>17309.567676999999</v>
      </c>
      <c r="E26" s="134">
        <f t="shared" si="5"/>
        <v>12865.669271659999</v>
      </c>
      <c r="F26" s="135">
        <f t="shared" si="5"/>
        <v>18.556684000000001</v>
      </c>
      <c r="G26" s="133">
        <f t="shared" si="5"/>
        <v>28697.574273219998</v>
      </c>
      <c r="H26" s="134">
        <f t="shared" si="5"/>
        <v>15743.823</v>
      </c>
      <c r="I26" s="134">
        <f t="shared" si="5"/>
        <v>12950.993273220001</v>
      </c>
      <c r="J26" s="135">
        <f t="shared" si="5"/>
        <v>2.7579999999999996</v>
      </c>
      <c r="L26" s="48"/>
      <c r="M26" s="48"/>
      <c r="N26" s="53"/>
      <c r="O26" s="48"/>
      <c r="R26" s="53"/>
      <c r="U26" s="48"/>
      <c r="V26" s="48"/>
      <c r="W26" s="48"/>
      <c r="X26" s="48"/>
    </row>
    <row r="27" spans="1:24" s="54" customFormat="1" ht="23.25" x14ac:dyDescent="0.25">
      <c r="A27" s="246">
        <v>1</v>
      </c>
      <c r="B27" s="247" t="s">
        <v>180</v>
      </c>
      <c r="C27" s="248">
        <f t="shared" ref="C27:C40" si="6">+D27+E27+F27</f>
        <v>1053.32</v>
      </c>
      <c r="D27" s="249">
        <f>+'2023 йил'!E8</f>
        <v>1053.32</v>
      </c>
      <c r="E27" s="249">
        <f>+'2023 йил'!F8</f>
        <v>0</v>
      </c>
      <c r="F27" s="249">
        <f>+'2023 йил'!G8</f>
        <v>0</v>
      </c>
      <c r="G27" s="248">
        <f>+H27+I27+J27</f>
        <v>1674.8</v>
      </c>
      <c r="H27" s="249">
        <f>+'2023 йил'!L9</f>
        <v>1674.8</v>
      </c>
      <c r="I27" s="249">
        <f>+'2023 йил'!M8</f>
        <v>0</v>
      </c>
      <c r="J27" s="250">
        <f>+'2023 йил'!N8</f>
        <v>0</v>
      </c>
      <c r="L27" s="48"/>
      <c r="M27" s="48"/>
      <c r="N27" s="53"/>
      <c r="O27" s="48"/>
      <c r="R27" s="53"/>
      <c r="U27" s="48"/>
      <c r="V27" s="48"/>
      <c r="W27" s="48"/>
      <c r="X27" s="48"/>
    </row>
    <row r="28" spans="1:24" s="54" customFormat="1" ht="23.25" x14ac:dyDescent="0.25">
      <c r="A28" s="50">
        <v>2</v>
      </c>
      <c r="B28" s="51" t="s">
        <v>6</v>
      </c>
      <c r="C28" s="139">
        <f t="shared" si="6"/>
        <v>3929.6011546</v>
      </c>
      <c r="D28" s="137">
        <f>+'2023 йил'!E9</f>
        <v>1244.8</v>
      </c>
      <c r="E28" s="137">
        <f>+'2023 йил'!F9</f>
        <v>2684.8011545999998</v>
      </c>
      <c r="F28" s="137">
        <f>+'2023 йил'!G9</f>
        <v>0</v>
      </c>
      <c r="G28" s="139">
        <f t="shared" ref="G28:G40" si="7">+H28+I28+J28</f>
        <v>4040.0026265100005</v>
      </c>
      <c r="H28" s="137">
        <f>+'2023 йил'!L10</f>
        <v>1338.0319999999999</v>
      </c>
      <c r="I28" s="137">
        <f>+'2023 йил'!M9</f>
        <v>2700.9706265100003</v>
      </c>
      <c r="J28" s="163">
        <f>+'2023 йил'!N9</f>
        <v>1</v>
      </c>
      <c r="L28" s="48"/>
      <c r="M28" s="48"/>
      <c r="N28" s="53"/>
      <c r="O28" s="48"/>
      <c r="R28" s="53"/>
      <c r="U28" s="48"/>
      <c r="V28" s="48"/>
      <c r="W28" s="48"/>
      <c r="X28" s="48"/>
    </row>
    <row r="29" spans="1:24" s="54" customFormat="1" ht="23.25" x14ac:dyDescent="0.25">
      <c r="A29" s="175">
        <v>3</v>
      </c>
      <c r="B29" s="55" t="s">
        <v>7</v>
      </c>
      <c r="C29" s="139">
        <f t="shared" si="6"/>
        <v>2076.1954298400001</v>
      </c>
      <c r="D29" s="137">
        <f>+'2023 йил'!E10</f>
        <v>1358.0319999999999</v>
      </c>
      <c r="E29" s="137">
        <f>+'2023 йил'!F10</f>
        <v>713.80139684000005</v>
      </c>
      <c r="F29" s="137">
        <f>+'2023 йил'!G10</f>
        <v>4.3620330000000003</v>
      </c>
      <c r="G29" s="139">
        <f t="shared" si="7"/>
        <v>2149.1714050599999</v>
      </c>
      <c r="H29" s="137">
        <f>+'2023 йил'!L11</f>
        <v>1431.07</v>
      </c>
      <c r="I29" s="137">
        <f>+'2023 йил'!M10</f>
        <v>718.10140505999993</v>
      </c>
      <c r="J29" s="163">
        <f>+'2023 йил'!N10</f>
        <v>0</v>
      </c>
      <c r="L29" s="48"/>
      <c r="M29" s="48"/>
      <c r="N29" s="53"/>
      <c r="O29" s="48"/>
      <c r="R29" s="53"/>
      <c r="U29" s="48"/>
      <c r="V29" s="48"/>
      <c r="W29" s="48"/>
      <c r="X29" s="48"/>
    </row>
    <row r="30" spans="1:24" s="54" customFormat="1" ht="23.25" x14ac:dyDescent="0.25">
      <c r="A30" s="50">
        <v>4</v>
      </c>
      <c r="B30" s="55" t="s">
        <v>8</v>
      </c>
      <c r="C30" s="139">
        <f t="shared" si="6"/>
        <v>2201.9974647599997</v>
      </c>
      <c r="D30" s="137">
        <f>+'2023 йил'!E11</f>
        <v>1431.07</v>
      </c>
      <c r="E30" s="137">
        <f>+'2023 йил'!F11</f>
        <v>769.24746475999996</v>
      </c>
      <c r="F30" s="137">
        <f>+'2023 йил'!G11</f>
        <v>1.68</v>
      </c>
      <c r="G30" s="139">
        <f t="shared" si="7"/>
        <v>1944.29548557</v>
      </c>
      <c r="H30" s="137">
        <f>+'2023 йил'!L12</f>
        <v>1170.414</v>
      </c>
      <c r="I30" s="137">
        <f>+'2023 йил'!M11</f>
        <v>773.88148557000011</v>
      </c>
      <c r="J30" s="163">
        <f>+'2023 йил'!N11</f>
        <v>0</v>
      </c>
      <c r="L30" s="48"/>
      <c r="M30" s="48"/>
      <c r="N30" s="53"/>
      <c r="O30" s="48"/>
      <c r="R30" s="53"/>
      <c r="U30" s="48"/>
      <c r="V30" s="48"/>
      <c r="W30" s="48"/>
      <c r="X30" s="48"/>
    </row>
    <row r="31" spans="1:24" s="54" customFormat="1" ht="23.25" x14ac:dyDescent="0.25">
      <c r="A31" s="175">
        <v>5</v>
      </c>
      <c r="B31" s="55" t="s">
        <v>9</v>
      </c>
      <c r="C31" s="139">
        <f t="shared" si="6"/>
        <v>2089.43519113</v>
      </c>
      <c r="D31" s="137">
        <f>+'2023 йил'!E12</f>
        <v>1179.7139999999999</v>
      </c>
      <c r="E31" s="137">
        <f>+'2023 йил'!F12</f>
        <v>909.72119112999997</v>
      </c>
      <c r="F31" s="137">
        <f>+'2023 йил'!G12</f>
        <v>0</v>
      </c>
      <c r="G31" s="139">
        <f t="shared" si="7"/>
        <v>2216.1534392799999</v>
      </c>
      <c r="H31" s="137">
        <f>+'2023 йил'!L13</f>
        <v>1300.952</v>
      </c>
      <c r="I31" s="137">
        <f>+'2023 йил'!M12</f>
        <v>915.20143927999993</v>
      </c>
      <c r="J31" s="163">
        <f>+'2023 йил'!N12</f>
        <v>0</v>
      </c>
      <c r="L31" s="48"/>
      <c r="M31" s="48"/>
      <c r="N31" s="53"/>
      <c r="O31" s="48"/>
      <c r="R31" s="53"/>
      <c r="U31" s="48"/>
      <c r="V31" s="48"/>
      <c r="W31" s="48"/>
      <c r="X31" s="48"/>
    </row>
    <row r="32" spans="1:24" s="54" customFormat="1" ht="23.25" x14ac:dyDescent="0.25">
      <c r="A32" s="50">
        <v>6</v>
      </c>
      <c r="B32" s="55" t="s">
        <v>10</v>
      </c>
      <c r="C32" s="139">
        <f t="shared" si="6"/>
        <v>2902.8530974</v>
      </c>
      <c r="D32" s="137">
        <f>+'2023 йил'!E13</f>
        <v>1362.7349999999999</v>
      </c>
      <c r="E32" s="137">
        <f>+'2023 йил'!F13</f>
        <v>1540.1180974000001</v>
      </c>
      <c r="F32" s="137">
        <f>+'2023 йил'!G13</f>
        <v>0</v>
      </c>
      <c r="G32" s="139">
        <f t="shared" si="7"/>
        <v>2575.9959170599996</v>
      </c>
      <c r="H32" s="137">
        <f>+'2023 йил'!L14</f>
        <v>1026.5999999999999</v>
      </c>
      <c r="I32" s="137">
        <f>+'2023 йил'!M13</f>
        <v>1549.3959170599999</v>
      </c>
      <c r="J32" s="163">
        <f>+'2023 йил'!N13</f>
        <v>0</v>
      </c>
      <c r="L32" s="48"/>
      <c r="M32" s="48"/>
      <c r="N32" s="53"/>
      <c r="O32" s="48"/>
      <c r="R32" s="53"/>
      <c r="U32" s="48"/>
      <c r="V32" s="48"/>
      <c r="W32" s="48"/>
      <c r="X32" s="48"/>
    </row>
    <row r="33" spans="1:24" s="54" customFormat="1" ht="23.25" x14ac:dyDescent="0.25">
      <c r="A33" s="175">
        <v>7</v>
      </c>
      <c r="B33" s="55" t="s">
        <v>11</v>
      </c>
      <c r="C33" s="139">
        <f t="shared" si="6"/>
        <v>2216.1228197800001</v>
      </c>
      <c r="D33" s="137">
        <f>+'2023 йил'!E14</f>
        <v>1068.5999999999999</v>
      </c>
      <c r="E33" s="137">
        <f>+'2023 йил'!F14</f>
        <v>1146.8711687800001</v>
      </c>
      <c r="F33" s="137">
        <f>+'2023 йил'!G14</f>
        <v>0.65165099999999998</v>
      </c>
      <c r="G33" s="139">
        <f t="shared" si="7"/>
        <v>2262.9680312</v>
      </c>
      <c r="H33" s="137">
        <f>+'2023 йил'!L15</f>
        <v>1108</v>
      </c>
      <c r="I33" s="137">
        <f>+'2023 йил'!M14</f>
        <v>1153.7800311999999</v>
      </c>
      <c r="J33" s="163">
        <f>+'2023 йил'!N14</f>
        <v>1.1879999999999999</v>
      </c>
      <c r="L33" s="48"/>
      <c r="M33" s="48"/>
      <c r="N33" s="53"/>
      <c r="O33" s="48"/>
      <c r="R33" s="53"/>
      <c r="U33" s="48"/>
      <c r="V33" s="48"/>
      <c r="W33" s="48"/>
      <c r="X33" s="48"/>
    </row>
    <row r="34" spans="1:24" s="54" customFormat="1" ht="23.25" x14ac:dyDescent="0.25">
      <c r="A34" s="50">
        <v>8</v>
      </c>
      <c r="B34" s="55" t="s">
        <v>12</v>
      </c>
      <c r="C34" s="139">
        <f t="shared" si="6"/>
        <v>2462.6228814300002</v>
      </c>
      <c r="D34" s="137">
        <f>+'2023 йил'!E15</f>
        <v>1382.15</v>
      </c>
      <c r="E34" s="137">
        <f>+'2023 йил'!F15</f>
        <v>1080.4728814300001</v>
      </c>
      <c r="F34" s="137">
        <f>+'2023 йил'!G15</f>
        <v>0</v>
      </c>
      <c r="G34" s="139">
        <f t="shared" si="7"/>
        <v>2178.9817540399999</v>
      </c>
      <c r="H34" s="137">
        <f>+'2023 йил'!L16</f>
        <v>1092</v>
      </c>
      <c r="I34" s="137">
        <f>+'2023 йил'!M15</f>
        <v>1086.9817540399999</v>
      </c>
      <c r="J34" s="163">
        <f>+'2023 йил'!N15</f>
        <v>0</v>
      </c>
      <c r="L34" s="48"/>
      <c r="M34" s="48"/>
      <c r="N34" s="53"/>
      <c r="O34" s="48"/>
      <c r="R34" s="53"/>
      <c r="U34" s="48"/>
      <c r="V34" s="48"/>
      <c r="W34" s="48"/>
      <c r="X34" s="48"/>
    </row>
    <row r="35" spans="1:24" s="54" customFormat="1" ht="23.25" x14ac:dyDescent="0.25">
      <c r="A35" s="175">
        <v>9</v>
      </c>
      <c r="B35" s="55" t="s">
        <v>13</v>
      </c>
      <c r="C35" s="139">
        <f t="shared" si="6"/>
        <v>1886.5624286900002</v>
      </c>
      <c r="D35" s="137">
        <f>+'2023 йил'!E16</f>
        <v>1059.7366770000001</v>
      </c>
      <c r="E35" s="137">
        <f>+'2023 йил'!F16</f>
        <v>826.82575169000006</v>
      </c>
      <c r="F35" s="137">
        <f>+'2023 йил'!G16</f>
        <v>0</v>
      </c>
      <c r="G35" s="139">
        <f t="shared" si="7"/>
        <v>2035.0066294400001</v>
      </c>
      <c r="H35" s="137">
        <f>+'2023 йил'!L17</f>
        <v>1203.2</v>
      </c>
      <c r="I35" s="137">
        <f>+'2023 йил'!M16</f>
        <v>831.80662944000005</v>
      </c>
      <c r="J35" s="163">
        <f>+'2023 йил'!N16</f>
        <v>0</v>
      </c>
      <c r="L35" s="48"/>
      <c r="M35" s="48"/>
      <c r="N35" s="53"/>
      <c r="O35" s="48"/>
      <c r="R35" s="53"/>
      <c r="U35" s="48"/>
      <c r="V35" s="48"/>
      <c r="W35" s="48"/>
      <c r="X35" s="48"/>
    </row>
    <row r="36" spans="1:24" s="54" customFormat="1" ht="23.25" x14ac:dyDescent="0.25">
      <c r="A36" s="50">
        <v>10</v>
      </c>
      <c r="B36" s="55" t="s">
        <v>14</v>
      </c>
      <c r="C36" s="139">
        <f t="shared" si="6"/>
        <v>1899.1088375499999</v>
      </c>
      <c r="D36" s="137">
        <f>+'2023 йил'!E17</f>
        <v>1170</v>
      </c>
      <c r="E36" s="137">
        <f>+'2023 йил'!F17</f>
        <v>725.30883754999991</v>
      </c>
      <c r="F36" s="137">
        <f>+'2023 йил'!G17</f>
        <v>3.8</v>
      </c>
      <c r="G36" s="139">
        <f t="shared" si="7"/>
        <v>1430.5531679099997</v>
      </c>
      <c r="H36" s="137">
        <f>+'2023 йил'!L18</f>
        <v>700.30499999999995</v>
      </c>
      <c r="I36" s="137">
        <f>+'2023 йил'!M17</f>
        <v>729.67816790999996</v>
      </c>
      <c r="J36" s="163">
        <f>+'2023 йил'!N17</f>
        <v>0.56999999999999995</v>
      </c>
      <c r="L36" s="48"/>
      <c r="M36" s="48"/>
      <c r="N36" s="53"/>
      <c r="O36" s="48"/>
      <c r="R36" s="53"/>
      <c r="U36" s="48"/>
      <c r="V36" s="48"/>
      <c r="W36" s="48"/>
      <c r="X36" s="48"/>
    </row>
    <row r="37" spans="1:24" s="54" customFormat="1" ht="23.25" x14ac:dyDescent="0.25">
      <c r="A37" s="175">
        <v>11</v>
      </c>
      <c r="B37" s="55" t="s">
        <v>15</v>
      </c>
      <c r="C37" s="139">
        <f t="shared" si="6"/>
        <v>1843.2547755999999</v>
      </c>
      <c r="D37" s="137">
        <f>+'2023 йил'!E18</f>
        <v>1300.96</v>
      </c>
      <c r="E37" s="137">
        <f>+'2023 йил'!F18</f>
        <v>542.29477559999998</v>
      </c>
      <c r="F37" s="137">
        <f>+'2023 йил'!G18</f>
        <v>0</v>
      </c>
      <c r="G37" s="139">
        <f t="shared" si="7"/>
        <v>1858.11161161</v>
      </c>
      <c r="H37" s="137">
        <f>+'2023 йил'!L19</f>
        <v>1312.55</v>
      </c>
      <c r="I37" s="137">
        <f>+'2023 йил'!M18</f>
        <v>545.56161161</v>
      </c>
      <c r="J37" s="163">
        <f>+'2023 йил'!N18</f>
        <v>0</v>
      </c>
      <c r="L37" s="48"/>
      <c r="M37" s="48"/>
      <c r="N37" s="53"/>
      <c r="O37" s="48"/>
      <c r="R37" s="53"/>
      <c r="U37" s="48"/>
      <c r="V37" s="48"/>
      <c r="W37" s="48"/>
      <c r="X37" s="48"/>
    </row>
    <row r="38" spans="1:24" s="54" customFormat="1" ht="23.25" x14ac:dyDescent="0.25">
      <c r="A38" s="50">
        <v>12</v>
      </c>
      <c r="B38" s="55" t="s">
        <v>16</v>
      </c>
      <c r="C38" s="139">
        <f t="shared" si="6"/>
        <v>2074.6053399100001</v>
      </c>
      <c r="D38" s="137">
        <f>+'2023 йил'!E19</f>
        <v>1312.55</v>
      </c>
      <c r="E38" s="137">
        <f>+'2023 йил'!F19</f>
        <v>762.05533990999993</v>
      </c>
      <c r="F38" s="137">
        <f>+'2023 йил'!G19</f>
        <v>0</v>
      </c>
      <c r="G38" s="139">
        <f t="shared" si="7"/>
        <v>1963.0400346199999</v>
      </c>
      <c r="H38" s="137">
        <f>+'2023 йил'!L20</f>
        <v>1188.57</v>
      </c>
      <c r="I38" s="137">
        <f>+'2023 йил'!M19</f>
        <v>774.47003461999998</v>
      </c>
      <c r="J38" s="163">
        <f>+'2023 йил'!N19</f>
        <v>0</v>
      </c>
      <c r="L38" s="48"/>
      <c r="M38" s="48"/>
      <c r="N38" s="53"/>
      <c r="O38" s="48"/>
      <c r="R38" s="53"/>
      <c r="U38" s="48"/>
      <c r="V38" s="48"/>
      <c r="W38" s="48"/>
      <c r="X38" s="48"/>
    </row>
    <row r="39" spans="1:24" s="54" customFormat="1" ht="23.25" x14ac:dyDescent="0.25">
      <c r="A39" s="175">
        <v>13</v>
      </c>
      <c r="B39" s="55" t="s">
        <v>17</v>
      </c>
      <c r="C39" s="139">
        <f t="shared" si="6"/>
        <v>1903.49095319</v>
      </c>
      <c r="D39" s="137">
        <f>+'2023 йил'!E20</f>
        <v>1188.57</v>
      </c>
      <c r="E39" s="137">
        <f>+'2023 йил'!F20</f>
        <v>714.92095319000009</v>
      </c>
      <c r="F39" s="137">
        <f>+'2023 йил'!G20</f>
        <v>0</v>
      </c>
      <c r="G39" s="139">
        <f t="shared" si="7"/>
        <v>1916.5577059099999</v>
      </c>
      <c r="H39" s="137">
        <f>+'2023 йил'!L21</f>
        <v>1197.33</v>
      </c>
      <c r="I39" s="137">
        <f>+'2023 йил'!M20</f>
        <v>719.22770590999994</v>
      </c>
      <c r="J39" s="163">
        <f>+'2023 йил'!N20</f>
        <v>0</v>
      </c>
      <c r="L39" s="48"/>
      <c r="M39" s="48"/>
      <c r="N39" s="53"/>
      <c r="O39" s="48"/>
      <c r="R39" s="53"/>
      <c r="U39" s="48"/>
      <c r="V39" s="48"/>
      <c r="W39" s="48"/>
      <c r="X39" s="48"/>
    </row>
    <row r="40" spans="1:24" s="54" customFormat="1" ht="24" thickBot="1" x14ac:dyDescent="0.3">
      <c r="A40" s="251">
        <v>14</v>
      </c>
      <c r="B40" s="56" t="s">
        <v>18</v>
      </c>
      <c r="C40" s="142">
        <f t="shared" si="6"/>
        <v>1654.62325878</v>
      </c>
      <c r="D40" s="145">
        <f>+'2023 йил'!E21</f>
        <v>1197.33</v>
      </c>
      <c r="E40" s="145">
        <f>+'2023 йил'!F21</f>
        <v>449.23025877999999</v>
      </c>
      <c r="F40" s="145">
        <f>+'2023 йил'!G21</f>
        <v>8.0630000000000006</v>
      </c>
      <c r="G40" s="142">
        <f t="shared" si="7"/>
        <v>451.93646501000001</v>
      </c>
      <c r="H40" s="145">
        <f>+'2023 йил'!L22</f>
        <v>0</v>
      </c>
      <c r="I40" s="145">
        <f>+'2023 йил'!M21</f>
        <v>451.93646501000001</v>
      </c>
      <c r="J40" s="164">
        <f>+'2023 йил'!N21</f>
        <v>0</v>
      </c>
      <c r="L40" s="48"/>
      <c r="M40" s="48"/>
      <c r="N40" s="53"/>
      <c r="O40" s="48"/>
      <c r="R40" s="53"/>
      <c r="U40" s="48"/>
      <c r="V40" s="48"/>
      <c r="W40" s="48"/>
      <c r="X40" s="48"/>
    </row>
    <row r="41" spans="1:24" ht="15.75" thickBot="1" x14ac:dyDescent="0.3">
      <c r="B41" s="126" t="s">
        <v>116</v>
      </c>
      <c r="J41" s="126" t="s">
        <v>77</v>
      </c>
    </row>
    <row r="42" spans="1:24" ht="18.75" x14ac:dyDescent="0.25">
      <c r="A42" s="770" t="s">
        <v>0</v>
      </c>
      <c r="B42" s="771" t="s">
        <v>4</v>
      </c>
      <c r="C42" s="619" t="s">
        <v>2</v>
      </c>
      <c r="D42" s="623"/>
      <c r="E42" s="623"/>
      <c r="F42" s="622"/>
      <c r="G42" s="756" t="s">
        <v>1</v>
      </c>
      <c r="H42" s="623"/>
      <c r="I42" s="623"/>
      <c r="J42" s="622"/>
    </row>
    <row r="43" spans="1:24" ht="18.75" customHeight="1" x14ac:dyDescent="0.25">
      <c r="A43" s="757"/>
      <c r="B43" s="772"/>
      <c r="C43" s="757" t="s">
        <v>75</v>
      </c>
      <c r="D43" s="759" t="s">
        <v>5</v>
      </c>
      <c r="E43" s="759"/>
      <c r="F43" s="760"/>
      <c r="G43" s="757" t="s">
        <v>75</v>
      </c>
      <c r="H43" s="759" t="s">
        <v>5</v>
      </c>
      <c r="I43" s="759"/>
      <c r="J43" s="760"/>
    </row>
    <row r="44" spans="1:24" ht="38.25" thickBot="1" x14ac:dyDescent="0.3">
      <c r="A44" s="758"/>
      <c r="B44" s="773"/>
      <c r="C44" s="758"/>
      <c r="D44" s="130" t="s">
        <v>122</v>
      </c>
      <c r="E44" s="130" t="s">
        <v>123</v>
      </c>
      <c r="F44" s="131" t="s">
        <v>121</v>
      </c>
      <c r="G44" s="758"/>
      <c r="H44" s="130" t="s">
        <v>122</v>
      </c>
      <c r="I44" s="130" t="s">
        <v>123</v>
      </c>
      <c r="J44" s="131" t="s">
        <v>121</v>
      </c>
    </row>
    <row r="45" spans="1:24" ht="23.25" thickBot="1" x14ac:dyDescent="0.3">
      <c r="A45" s="761" t="s">
        <v>3</v>
      </c>
      <c r="B45" s="762"/>
      <c r="C45" s="133">
        <f>SUM(C46:C59)</f>
        <v>25215.070388259999</v>
      </c>
      <c r="D45" s="134">
        <f t="shared" ref="D45:J45" si="8">SUM(D46:D59)</f>
        <v>16314.257599999999</v>
      </c>
      <c r="E45" s="134">
        <f t="shared" si="8"/>
        <v>8866.6989002200007</v>
      </c>
      <c r="F45" s="135">
        <f t="shared" si="8"/>
        <v>34.113888039999999</v>
      </c>
      <c r="G45" s="133">
        <f t="shared" si="8"/>
        <v>22263.903470750003</v>
      </c>
      <c r="H45" s="134">
        <f t="shared" si="8"/>
        <v>13164.783136000002</v>
      </c>
      <c r="I45" s="134">
        <f t="shared" si="8"/>
        <v>8920.7653509299998</v>
      </c>
      <c r="J45" s="135">
        <f t="shared" si="8"/>
        <v>178.35498381999997</v>
      </c>
    </row>
    <row r="46" spans="1:24" ht="23.25" x14ac:dyDescent="0.25">
      <c r="A46" s="246">
        <v>1</v>
      </c>
      <c r="B46" s="247" t="s">
        <v>180</v>
      </c>
      <c r="C46" s="248">
        <f t="shared" ref="C46:C59" si="9">+D46+E46+F46</f>
        <v>639.1</v>
      </c>
      <c r="D46" s="249">
        <f>+'2022 йил'!E8</f>
        <v>639.1</v>
      </c>
      <c r="E46" s="249">
        <f>+'2022 йил'!F8</f>
        <v>0</v>
      </c>
      <c r="F46" s="249">
        <f>+'2022 йил'!G8+'2022 йил'!H8</f>
        <v>0</v>
      </c>
      <c r="G46" s="248">
        <f t="shared" ref="G46:G59" si="10">+H46+I46+J46</f>
        <v>0</v>
      </c>
      <c r="H46" s="249">
        <f>+'2022 йил'!M8</f>
        <v>0</v>
      </c>
      <c r="I46" s="249">
        <f>+'2022 йил'!N8</f>
        <v>0</v>
      </c>
      <c r="J46" s="252">
        <f>+'2022 йил'!O8+'2022 йил'!P8</f>
        <v>0</v>
      </c>
    </row>
    <row r="47" spans="1:24" ht="23.25" x14ac:dyDescent="0.25">
      <c r="A47" s="50">
        <v>2</v>
      </c>
      <c r="B47" s="51" t="s">
        <v>6</v>
      </c>
      <c r="C47" s="139">
        <f t="shared" si="9"/>
        <v>3295.0241770699995</v>
      </c>
      <c r="D47" s="137">
        <f>+'2022 йил'!E9</f>
        <v>1250</v>
      </c>
      <c r="E47" s="137">
        <f>+'2022 йил'!F9</f>
        <v>2042.5767539999999</v>
      </c>
      <c r="F47" s="137">
        <f>+'2022 йил'!G9+'2022 йил'!H9</f>
        <v>2.4474230699999997</v>
      </c>
      <c r="G47" s="139">
        <f t="shared" si="10"/>
        <v>2795.38618451</v>
      </c>
      <c r="H47" s="137">
        <f>+'2022 йил'!M9</f>
        <v>738</v>
      </c>
      <c r="I47" s="137">
        <f>+'2022 йил'!N9</f>
        <v>2054.88104591</v>
      </c>
      <c r="J47" s="138">
        <f>+'2022 йил'!O9+'2022 йил'!P9</f>
        <v>2.5051386</v>
      </c>
    </row>
    <row r="48" spans="1:24" ht="23.25" x14ac:dyDescent="0.25">
      <c r="A48" s="175">
        <v>3</v>
      </c>
      <c r="B48" s="55" t="s">
        <v>7</v>
      </c>
      <c r="C48" s="139">
        <f t="shared" si="9"/>
        <v>1826.22995808</v>
      </c>
      <c r="D48" s="137">
        <f>+'2022 йил'!E10</f>
        <v>1289.961</v>
      </c>
      <c r="E48" s="137">
        <f>+'2022 йил'!F10</f>
        <v>536.18289971000002</v>
      </c>
      <c r="F48" s="137">
        <f>+'2022 йил'!G10+'2022 йил'!H10</f>
        <v>8.6058369999999995E-2</v>
      </c>
      <c r="G48" s="139">
        <f t="shared" si="10"/>
        <v>1544.6946470099999</v>
      </c>
      <c r="H48" s="137">
        <f>+'2022 йил'!M10</f>
        <v>1005.268</v>
      </c>
      <c r="I48" s="137">
        <f>+'2022 йил'!N10</f>
        <v>539.41291701</v>
      </c>
      <c r="J48" s="138">
        <f>+'2022 йил'!O10+'2022 йил'!P10</f>
        <v>1.3729999999999999E-2</v>
      </c>
    </row>
    <row r="49" spans="1:10" ht="23.25" x14ac:dyDescent="0.25">
      <c r="A49" s="50">
        <v>4</v>
      </c>
      <c r="B49" s="55" t="s">
        <v>8</v>
      </c>
      <c r="C49" s="139">
        <f t="shared" si="9"/>
        <v>2229.9513176600003</v>
      </c>
      <c r="D49" s="137">
        <f>+'2022 йил'!E11</f>
        <v>1667.115</v>
      </c>
      <c r="E49" s="137">
        <f>+'2022 йил'!F11</f>
        <v>562.74211444000002</v>
      </c>
      <c r="F49" s="137">
        <f>+'2022 йил'!G11+'2022 йил'!H11</f>
        <v>9.4203220000000004E-2</v>
      </c>
      <c r="G49" s="139">
        <f t="shared" si="10"/>
        <v>2072.0971271600001</v>
      </c>
      <c r="H49" s="137">
        <f>+'2022 йил'!M11</f>
        <v>1505.9649999999999</v>
      </c>
      <c r="I49" s="137">
        <f>+'2022 йил'!N11</f>
        <v>566.13212715999998</v>
      </c>
      <c r="J49" s="138">
        <f>+'2022 йил'!O11+'2022 йил'!P11</f>
        <v>0</v>
      </c>
    </row>
    <row r="50" spans="1:10" ht="23.25" x14ac:dyDescent="0.25">
      <c r="A50" s="175">
        <v>5</v>
      </c>
      <c r="B50" s="55" t="s">
        <v>9</v>
      </c>
      <c r="C50" s="139">
        <f t="shared" si="9"/>
        <v>1609.99716934</v>
      </c>
      <c r="D50" s="137">
        <f>+'2022 йил'!E12</f>
        <v>980.5</v>
      </c>
      <c r="E50" s="137">
        <f>+'2022 йил'!F12</f>
        <v>627.39116934000003</v>
      </c>
      <c r="F50" s="137">
        <f>+'2022 йил'!G12+'2022 йил'!H12</f>
        <v>2.1059999999999999</v>
      </c>
      <c r="G50" s="139">
        <f t="shared" si="10"/>
        <v>1645.6806343400001</v>
      </c>
      <c r="H50" s="137">
        <f>+'2022 йил'!M12</f>
        <v>1014.5</v>
      </c>
      <c r="I50" s="137">
        <f>+'2022 йил'!N12</f>
        <v>631.17063433999999</v>
      </c>
      <c r="J50" s="138">
        <f>+'2022 йил'!O12+'2022 йил'!P12</f>
        <v>0.01</v>
      </c>
    </row>
    <row r="51" spans="1:10" ht="23.25" x14ac:dyDescent="0.25">
      <c r="A51" s="50">
        <v>6</v>
      </c>
      <c r="B51" s="55" t="s">
        <v>10</v>
      </c>
      <c r="C51" s="139">
        <f t="shared" si="9"/>
        <v>1978.9662436200001</v>
      </c>
      <c r="D51" s="137">
        <f>+'2022 йил'!E13</f>
        <v>935.94200000000001</v>
      </c>
      <c r="E51" s="137">
        <f>+'2022 йил'!F13</f>
        <v>1043.0242436200001</v>
      </c>
      <c r="F51" s="137">
        <f>+'2022 йил'!G13+'2022 йил'!H13</f>
        <v>0</v>
      </c>
      <c r="G51" s="139">
        <f t="shared" si="10"/>
        <v>1637.1722129899999</v>
      </c>
      <c r="H51" s="137">
        <f>+'2022 йил'!M13</f>
        <v>450</v>
      </c>
      <c r="I51" s="137">
        <f>+'2022 йил'!N13</f>
        <v>1049.57221299</v>
      </c>
      <c r="J51" s="138">
        <f>+'2022 йил'!O13+'2022 йил'!P13</f>
        <v>137.6</v>
      </c>
    </row>
    <row r="52" spans="1:10" ht="23.25" x14ac:dyDescent="0.25">
      <c r="A52" s="175">
        <v>7</v>
      </c>
      <c r="B52" s="55" t="s">
        <v>11</v>
      </c>
      <c r="C52" s="139">
        <f t="shared" si="9"/>
        <v>1974.5087546699999</v>
      </c>
      <c r="D52" s="137">
        <f>+'2022 йил'!E14</f>
        <v>1302</v>
      </c>
      <c r="E52" s="137">
        <f>+'2022 йил'!F14</f>
        <v>672.50875466999992</v>
      </c>
      <c r="F52" s="137">
        <f>+'2022 йил'!G14+'2022 йил'!H14</f>
        <v>0</v>
      </c>
      <c r="G52" s="139">
        <f t="shared" si="10"/>
        <v>1982.1186448199999</v>
      </c>
      <c r="H52" s="137">
        <f>+'2022 йил'!M14</f>
        <v>1271</v>
      </c>
      <c r="I52" s="137">
        <f>+'2022 йил'!N14</f>
        <v>676.55998422000005</v>
      </c>
      <c r="J52" s="138">
        <f>+'2022 йил'!O14+'2022 йил'!P14</f>
        <v>34.558660600000003</v>
      </c>
    </row>
    <row r="53" spans="1:10" ht="23.25" x14ac:dyDescent="0.25">
      <c r="A53" s="50">
        <v>8</v>
      </c>
      <c r="B53" s="55" t="s">
        <v>12</v>
      </c>
      <c r="C53" s="139">
        <f t="shared" si="9"/>
        <v>2299.2291247200001</v>
      </c>
      <c r="D53" s="137">
        <f>+'2022 йил'!E15</f>
        <v>1562.6189999999999</v>
      </c>
      <c r="E53" s="137">
        <f>+'2022 йил'!F15</f>
        <v>731.96835719000001</v>
      </c>
      <c r="F53" s="137">
        <f>+'2022 йил'!G15+'2022 йил'!H15</f>
        <v>4.6417675300000001</v>
      </c>
      <c r="G53" s="139">
        <f t="shared" si="10"/>
        <v>3134.8505343400002</v>
      </c>
      <c r="H53" s="137">
        <f>+'2022 йил'!M15</f>
        <v>2395.0395360000002</v>
      </c>
      <c r="I53" s="137">
        <f>+'2022 йил'!N15</f>
        <v>736.37769183</v>
      </c>
      <c r="J53" s="138">
        <f>+'2022 йил'!O15+'2022 йил'!P15</f>
        <v>3.43330651</v>
      </c>
    </row>
    <row r="54" spans="1:10" ht="23.25" x14ac:dyDescent="0.25">
      <c r="A54" s="175">
        <v>9</v>
      </c>
      <c r="B54" s="55" t="s">
        <v>13</v>
      </c>
      <c r="C54" s="139">
        <f t="shared" si="9"/>
        <v>1330.8425595900001</v>
      </c>
      <c r="D54" s="137">
        <f>+'2022 йил'!E16</f>
        <v>760</v>
      </c>
      <c r="E54" s="137">
        <f>+'2022 йил'!F16</f>
        <v>566.26098549999995</v>
      </c>
      <c r="F54" s="137">
        <f>+'2022 йил'!G16+'2022 йил'!H16</f>
        <v>4.5815740900000002</v>
      </c>
      <c r="G54" s="139">
        <f t="shared" si="10"/>
        <v>1329.67219628</v>
      </c>
      <c r="H54" s="137">
        <f>+'2022 йил'!M16</f>
        <v>760</v>
      </c>
      <c r="I54" s="137">
        <f>+'2022 йил'!N16</f>
        <v>569.67219627999998</v>
      </c>
      <c r="J54" s="138">
        <f>+'2022 йил'!O16+'2022 йил'!P16</f>
        <v>0</v>
      </c>
    </row>
    <row r="55" spans="1:10" ht="23.25" x14ac:dyDescent="0.25">
      <c r="A55" s="50">
        <v>10</v>
      </c>
      <c r="B55" s="55" t="s">
        <v>14</v>
      </c>
      <c r="C55" s="139">
        <f t="shared" si="9"/>
        <v>1568.0582214799999</v>
      </c>
      <c r="D55" s="137">
        <f>+'2022 йил'!E17</f>
        <v>1140.9105999999999</v>
      </c>
      <c r="E55" s="137">
        <f>+'2022 йил'!F17</f>
        <v>426.95092148000003</v>
      </c>
      <c r="F55" s="137">
        <f>+'2022 йил'!G17+'2022 йил'!H17</f>
        <v>0.19670000000000001</v>
      </c>
      <c r="G55" s="139">
        <f t="shared" si="10"/>
        <v>1418.8661969700001</v>
      </c>
      <c r="H55" s="137">
        <f>+'2022 йил'!M17</f>
        <v>989.15060000000005</v>
      </c>
      <c r="I55" s="137">
        <f>+'2022 йил'!N17</f>
        <v>429.52144886000002</v>
      </c>
      <c r="J55" s="138">
        <f>+'2022 йил'!O17+'2022 йил'!P17</f>
        <v>0.19414810999999998</v>
      </c>
    </row>
    <row r="56" spans="1:10" ht="23.25" x14ac:dyDescent="0.25">
      <c r="A56" s="175">
        <v>11</v>
      </c>
      <c r="B56" s="55" t="s">
        <v>15</v>
      </c>
      <c r="C56" s="139">
        <f t="shared" si="9"/>
        <v>1869.2079804800001</v>
      </c>
      <c r="D56" s="137">
        <f>+'2022 йил'!E18</f>
        <v>1447.75</v>
      </c>
      <c r="E56" s="137">
        <f>+'2022 йил'!F18</f>
        <v>417.40222048000004</v>
      </c>
      <c r="F56" s="137">
        <f>+'2022 йил'!G18+'2022 йил'!H18</f>
        <v>4.0557600000000003</v>
      </c>
      <c r="G56" s="139">
        <f t="shared" si="10"/>
        <v>925.95669181999995</v>
      </c>
      <c r="H56" s="137">
        <f>+'2022 йил'!M18</f>
        <v>506</v>
      </c>
      <c r="I56" s="137">
        <f>+'2022 йил'!N18</f>
        <v>419.91669181999998</v>
      </c>
      <c r="J56" s="138">
        <f>+'2022 йил'!O18+'2022 йил'!P18</f>
        <v>0.04</v>
      </c>
    </row>
    <row r="57" spans="1:10" ht="23.25" x14ac:dyDescent="0.25">
      <c r="A57" s="50">
        <v>12</v>
      </c>
      <c r="B57" s="55" t="s">
        <v>16</v>
      </c>
      <c r="C57" s="139">
        <f t="shared" si="9"/>
        <v>1711.4999606800002</v>
      </c>
      <c r="D57" s="137">
        <f>+'2022 йил'!E19</f>
        <v>1172.5</v>
      </c>
      <c r="E57" s="137">
        <f>+'2022 йил'!F19</f>
        <v>538.97496067999998</v>
      </c>
      <c r="F57" s="137">
        <f>+'2022 йил'!G19+'2022 йил'!H19</f>
        <v>2.5000000000000001E-2</v>
      </c>
      <c r="G57" s="139">
        <f t="shared" si="10"/>
        <v>1461.22179783</v>
      </c>
      <c r="H57" s="137">
        <f>+'2022 йил'!M19</f>
        <v>919</v>
      </c>
      <c r="I57" s="137">
        <f>+'2022 йил'!N19</f>
        <v>542.22179783000001</v>
      </c>
      <c r="J57" s="138">
        <f>+'2022 йил'!O19+'2022 йил'!P19</f>
        <v>0</v>
      </c>
    </row>
    <row r="58" spans="1:10" ht="23.25" x14ac:dyDescent="0.25">
      <c r="A58" s="175">
        <v>13</v>
      </c>
      <c r="B58" s="55" t="s">
        <v>17</v>
      </c>
      <c r="C58" s="139">
        <f t="shared" si="9"/>
        <v>1539.24863852</v>
      </c>
      <c r="D58" s="137">
        <f>+'2022 йил'!E20</f>
        <v>1155.44</v>
      </c>
      <c r="E58" s="137">
        <f>+'2022 йил'!F20</f>
        <v>383.80863851999999</v>
      </c>
      <c r="F58" s="137">
        <f>+'2022 йил'!G20+'2022 йил'!H20</f>
        <v>0</v>
      </c>
      <c r="G58" s="139">
        <f t="shared" si="10"/>
        <v>1473.45064445</v>
      </c>
      <c r="H58" s="137">
        <f>+'2022 йил'!M20</f>
        <v>1086.94</v>
      </c>
      <c r="I58" s="137">
        <f>+'2022 йил'!N20</f>
        <v>386.51064444999997</v>
      </c>
      <c r="J58" s="138">
        <f>+'2022 йил'!O20+'2022 йил'!P20</f>
        <v>0</v>
      </c>
    </row>
    <row r="59" spans="1:10" ht="24" thickBot="1" x14ac:dyDescent="0.3">
      <c r="A59" s="251">
        <v>14</v>
      </c>
      <c r="B59" s="56" t="s">
        <v>18</v>
      </c>
      <c r="C59" s="142">
        <f t="shared" si="9"/>
        <v>1343.20628235</v>
      </c>
      <c r="D59" s="145">
        <f>+'2022 йил'!E21</f>
        <v>1010.42</v>
      </c>
      <c r="E59" s="145">
        <f>+'2022 йил'!F21</f>
        <v>316.90688058999996</v>
      </c>
      <c r="F59" s="145">
        <f>+'2022 йил'!G21+'2022 йил'!H21</f>
        <v>15.87940176</v>
      </c>
      <c r="G59" s="142">
        <f t="shared" si="10"/>
        <v>842.73595823000005</v>
      </c>
      <c r="H59" s="145">
        <f>+'2022 йил'!M21</f>
        <v>523.91999999999996</v>
      </c>
      <c r="I59" s="145">
        <f>+'2022 йил'!N21</f>
        <v>318.81595823000004</v>
      </c>
      <c r="J59" s="146">
        <f>+'2022 йил'!O21+'2022 йил'!P21</f>
        <v>0</v>
      </c>
    </row>
    <row r="60" spans="1:10" ht="15.75" thickBot="1" x14ac:dyDescent="0.3">
      <c r="B60" s="73" t="s">
        <v>105</v>
      </c>
      <c r="J60" s="73" t="s">
        <v>77</v>
      </c>
    </row>
    <row r="61" spans="1:10" ht="18.75" customHeight="1" x14ac:dyDescent="0.25">
      <c r="A61" s="770" t="s">
        <v>0</v>
      </c>
      <c r="B61" s="771" t="s">
        <v>4</v>
      </c>
      <c r="C61" s="619" t="s">
        <v>2</v>
      </c>
      <c r="D61" s="623"/>
      <c r="E61" s="623"/>
      <c r="F61" s="622"/>
      <c r="G61" s="756" t="s">
        <v>1</v>
      </c>
      <c r="H61" s="623"/>
      <c r="I61" s="623"/>
      <c r="J61" s="622"/>
    </row>
    <row r="62" spans="1:10" ht="18.75" customHeight="1" x14ac:dyDescent="0.25">
      <c r="A62" s="757"/>
      <c r="B62" s="772"/>
      <c r="C62" s="757" t="s">
        <v>75</v>
      </c>
      <c r="D62" s="759" t="s">
        <v>5</v>
      </c>
      <c r="E62" s="759"/>
      <c r="F62" s="760"/>
      <c r="G62" s="757" t="s">
        <v>75</v>
      </c>
      <c r="H62" s="759" t="s">
        <v>5</v>
      </c>
      <c r="I62" s="759"/>
      <c r="J62" s="760"/>
    </row>
    <row r="63" spans="1:10" ht="38.25" customHeight="1" thickBot="1" x14ac:dyDescent="0.3">
      <c r="A63" s="758"/>
      <c r="B63" s="773"/>
      <c r="C63" s="758"/>
      <c r="D63" s="130" t="s">
        <v>122</v>
      </c>
      <c r="E63" s="130" t="s">
        <v>123</v>
      </c>
      <c r="F63" s="131" t="s">
        <v>121</v>
      </c>
      <c r="G63" s="758"/>
      <c r="H63" s="130" t="s">
        <v>122</v>
      </c>
      <c r="I63" s="130" t="s">
        <v>123</v>
      </c>
      <c r="J63" s="131" t="s">
        <v>121</v>
      </c>
    </row>
    <row r="64" spans="1:10" ht="23.25" thickBot="1" x14ac:dyDescent="0.3">
      <c r="A64" s="761" t="s">
        <v>3</v>
      </c>
      <c r="B64" s="762"/>
      <c r="C64" s="133">
        <f>SUM(C66:C78)</f>
        <v>13917.022863500002</v>
      </c>
      <c r="D64" s="134">
        <f t="shared" ref="D64:J64" si="11">SUM(D66:D78)</f>
        <v>7373.0749999999998</v>
      </c>
      <c r="E64" s="134">
        <f t="shared" si="11"/>
        <v>6417.4478634999996</v>
      </c>
      <c r="F64" s="135">
        <f t="shared" si="11"/>
        <v>126.5</v>
      </c>
      <c r="G64" s="133">
        <f>SUM(G66:G78)</f>
        <v>12787.114352339997</v>
      </c>
      <c r="H64" s="134">
        <f t="shared" si="11"/>
        <v>6219.8165799999997</v>
      </c>
      <c r="I64" s="134">
        <f t="shared" si="11"/>
        <v>6456.097772340001</v>
      </c>
      <c r="J64" s="135">
        <f t="shared" si="11"/>
        <v>111.2</v>
      </c>
    </row>
    <row r="65" spans="1:10" ht="23.25" x14ac:dyDescent="0.25">
      <c r="A65" s="175"/>
      <c r="B65" s="55"/>
      <c r="C65" s="139"/>
      <c r="D65" s="140"/>
      <c r="E65" s="140"/>
      <c r="F65" s="141"/>
      <c r="G65" s="139"/>
      <c r="H65" s="140"/>
      <c r="I65" s="140"/>
      <c r="J65" s="141"/>
    </row>
    <row r="66" spans="1:10" ht="23.25" x14ac:dyDescent="0.25">
      <c r="A66" s="50">
        <v>1</v>
      </c>
      <c r="B66" s="51" t="s">
        <v>6</v>
      </c>
      <c r="C66" s="136">
        <f t="shared" ref="C66:C78" si="12">+D66+E66+F66</f>
        <v>1629.5604664000002</v>
      </c>
      <c r="D66" s="137">
        <v>100</v>
      </c>
      <c r="E66" s="137">
        <v>1506.3604664000002</v>
      </c>
      <c r="F66" s="138">
        <v>23.2</v>
      </c>
      <c r="G66" s="136">
        <f t="shared" ref="G66:G78" si="13">+H66+I66+J66</f>
        <v>1898.9721186700001</v>
      </c>
      <c r="H66" s="137">
        <v>372.44658000000004</v>
      </c>
      <c r="I66" s="137">
        <v>1515.4255386700002</v>
      </c>
      <c r="J66" s="138">
        <v>11.1</v>
      </c>
    </row>
    <row r="67" spans="1:10" ht="23.25" x14ac:dyDescent="0.25">
      <c r="A67" s="118">
        <v>2</v>
      </c>
      <c r="B67" s="55" t="s">
        <v>7</v>
      </c>
      <c r="C67" s="139">
        <f t="shared" si="12"/>
        <v>1174.00959195</v>
      </c>
      <c r="D67" s="140">
        <v>807</v>
      </c>
      <c r="E67" s="140">
        <v>367.00959195000002</v>
      </c>
      <c r="F67" s="141"/>
      <c r="G67" s="139">
        <f t="shared" si="13"/>
        <v>846.22049317999995</v>
      </c>
      <c r="H67" s="140">
        <v>477</v>
      </c>
      <c r="I67" s="140">
        <v>369.22049318000001</v>
      </c>
      <c r="J67" s="141"/>
    </row>
    <row r="68" spans="1:10" ht="23.25" x14ac:dyDescent="0.25">
      <c r="A68" s="118">
        <v>3</v>
      </c>
      <c r="B68" s="55" t="s">
        <v>8</v>
      </c>
      <c r="C68" s="139">
        <f t="shared" si="12"/>
        <v>1063.0424487999999</v>
      </c>
      <c r="D68" s="140">
        <v>650</v>
      </c>
      <c r="E68" s="140">
        <v>413.04244879999999</v>
      </c>
      <c r="F68" s="141"/>
      <c r="G68" s="139">
        <f t="shared" si="13"/>
        <v>1053.2006561999999</v>
      </c>
      <c r="H68" s="140">
        <v>637.66999999999996</v>
      </c>
      <c r="I68" s="140">
        <v>415.53065619999995</v>
      </c>
      <c r="J68" s="141"/>
    </row>
    <row r="69" spans="1:10" ht="23.25" x14ac:dyDescent="0.25">
      <c r="A69" s="118">
        <v>4</v>
      </c>
      <c r="B69" s="55" t="s">
        <v>9</v>
      </c>
      <c r="C69" s="139">
        <f t="shared" si="12"/>
        <v>1013.64933302</v>
      </c>
      <c r="D69" s="140">
        <v>617</v>
      </c>
      <c r="E69" s="140">
        <v>396.64933301999997</v>
      </c>
      <c r="F69" s="141"/>
      <c r="G69" s="139">
        <f t="shared" si="13"/>
        <v>1116.0387867499999</v>
      </c>
      <c r="H69" s="140">
        <v>717</v>
      </c>
      <c r="I69" s="140">
        <v>399.03878674999999</v>
      </c>
      <c r="J69" s="141"/>
    </row>
    <row r="70" spans="1:10" ht="23.25" x14ac:dyDescent="0.25">
      <c r="A70" s="118">
        <v>5</v>
      </c>
      <c r="B70" s="55" t="s">
        <v>10</v>
      </c>
      <c r="C70" s="139">
        <f t="shared" si="12"/>
        <v>1154.4677357200001</v>
      </c>
      <c r="D70" s="140">
        <v>202</v>
      </c>
      <c r="E70" s="140">
        <v>952.46773572000006</v>
      </c>
      <c r="F70" s="141"/>
      <c r="G70" s="139">
        <f t="shared" si="13"/>
        <v>1040.20549325</v>
      </c>
      <c r="H70" s="140">
        <v>82</v>
      </c>
      <c r="I70" s="140">
        <v>958.20549325000002</v>
      </c>
      <c r="J70" s="141"/>
    </row>
    <row r="71" spans="1:10" ht="23.25" x14ac:dyDescent="0.25">
      <c r="A71" s="118">
        <v>6</v>
      </c>
      <c r="B71" s="55" t="s">
        <v>11</v>
      </c>
      <c r="C71" s="139">
        <f t="shared" si="12"/>
        <v>1356.55830051</v>
      </c>
      <c r="D71" s="140">
        <v>883</v>
      </c>
      <c r="E71" s="140">
        <v>473.55830050999998</v>
      </c>
      <c r="F71" s="141"/>
      <c r="G71" s="139">
        <f t="shared" si="13"/>
        <v>1336.4110610100001</v>
      </c>
      <c r="H71" s="140">
        <v>860</v>
      </c>
      <c r="I71" s="140">
        <v>476.41106101000003</v>
      </c>
      <c r="J71" s="141"/>
    </row>
    <row r="72" spans="1:10" ht="23.25" x14ac:dyDescent="0.25">
      <c r="A72" s="118">
        <v>7</v>
      </c>
      <c r="B72" s="55" t="s">
        <v>12</v>
      </c>
      <c r="C72" s="139">
        <f t="shared" si="12"/>
        <v>1228.8627329400001</v>
      </c>
      <c r="D72" s="140">
        <v>768</v>
      </c>
      <c r="E72" s="140">
        <v>460.86273294</v>
      </c>
      <c r="F72" s="141"/>
      <c r="G72" s="139">
        <f t="shared" si="13"/>
        <v>1051.6390144</v>
      </c>
      <c r="H72" s="140">
        <v>588</v>
      </c>
      <c r="I72" s="140">
        <v>463.63901439999995</v>
      </c>
      <c r="J72" s="141"/>
    </row>
    <row r="73" spans="1:10" ht="23.25" x14ac:dyDescent="0.25">
      <c r="A73" s="118">
        <v>8</v>
      </c>
      <c r="B73" s="55" t="s">
        <v>13</v>
      </c>
      <c r="C73" s="139">
        <f t="shared" si="12"/>
        <v>1169.5964764800001</v>
      </c>
      <c r="D73" s="140">
        <v>762</v>
      </c>
      <c r="E73" s="140">
        <v>407.59647648000004</v>
      </c>
      <c r="F73" s="141"/>
      <c r="G73" s="139">
        <f t="shared" si="13"/>
        <v>1172.1518768599999</v>
      </c>
      <c r="H73" s="140">
        <v>762</v>
      </c>
      <c r="I73" s="140">
        <v>410.05187685999999</v>
      </c>
      <c r="J73" s="141">
        <v>0.1</v>
      </c>
    </row>
    <row r="74" spans="1:10" ht="23.25" x14ac:dyDescent="0.25">
      <c r="A74" s="118">
        <v>9</v>
      </c>
      <c r="B74" s="55" t="s">
        <v>14</v>
      </c>
      <c r="C74" s="139">
        <f t="shared" si="12"/>
        <v>407.76388301999998</v>
      </c>
      <c r="D74" s="140">
        <v>55</v>
      </c>
      <c r="E74" s="140">
        <v>349.46388301999997</v>
      </c>
      <c r="F74" s="141">
        <v>3.3</v>
      </c>
      <c r="G74" s="139">
        <f t="shared" si="13"/>
        <v>406.56906014999998</v>
      </c>
      <c r="H74" s="140">
        <v>55</v>
      </c>
      <c r="I74" s="140">
        <v>351.56906014999998</v>
      </c>
      <c r="J74" s="141"/>
    </row>
    <row r="75" spans="1:10" ht="23.25" x14ac:dyDescent="0.25">
      <c r="A75" s="118">
        <v>10</v>
      </c>
      <c r="B75" s="55" t="s">
        <v>15</v>
      </c>
      <c r="C75" s="139">
        <f t="shared" si="12"/>
        <v>789.88099092000004</v>
      </c>
      <c r="D75" s="140">
        <v>488.875</v>
      </c>
      <c r="E75" s="140">
        <v>301.00599092000004</v>
      </c>
      <c r="F75" s="141"/>
      <c r="G75" s="139">
        <f t="shared" si="13"/>
        <v>502.81928002000001</v>
      </c>
      <c r="H75" s="140">
        <v>200</v>
      </c>
      <c r="I75" s="140">
        <v>302.81928002000001</v>
      </c>
      <c r="J75" s="141"/>
    </row>
    <row r="76" spans="1:10" ht="23.25" x14ac:dyDescent="0.25">
      <c r="A76" s="118">
        <v>11</v>
      </c>
      <c r="B76" s="55" t="s">
        <v>16</v>
      </c>
      <c r="C76" s="139">
        <f t="shared" si="12"/>
        <v>823.38061691000007</v>
      </c>
      <c r="D76" s="140">
        <v>486</v>
      </c>
      <c r="E76" s="140">
        <v>337.38061691000001</v>
      </c>
      <c r="F76" s="141"/>
      <c r="G76" s="139">
        <f t="shared" si="13"/>
        <v>525.41303045999996</v>
      </c>
      <c r="H76" s="140">
        <v>186</v>
      </c>
      <c r="I76" s="140">
        <v>339.41303045999996</v>
      </c>
      <c r="J76" s="141"/>
    </row>
    <row r="77" spans="1:10" ht="23.25" x14ac:dyDescent="0.25">
      <c r="A77" s="118">
        <v>12</v>
      </c>
      <c r="B77" s="55" t="s">
        <v>17</v>
      </c>
      <c r="C77" s="139">
        <f t="shared" si="12"/>
        <v>948.74597362999998</v>
      </c>
      <c r="D77" s="140">
        <v>596.20000000000005</v>
      </c>
      <c r="E77" s="140">
        <v>252.54597362999999</v>
      </c>
      <c r="F77" s="141">
        <v>100</v>
      </c>
      <c r="G77" s="139">
        <f t="shared" si="13"/>
        <v>742.76733486000012</v>
      </c>
      <c r="H77" s="140">
        <v>388.70000000000005</v>
      </c>
      <c r="I77" s="140">
        <v>254.06733486000002</v>
      </c>
      <c r="J77" s="141">
        <v>100</v>
      </c>
    </row>
    <row r="78" spans="1:10" ht="24" thickBot="1" x14ac:dyDescent="0.3">
      <c r="A78" s="119">
        <v>13</v>
      </c>
      <c r="B78" s="56" t="s">
        <v>18</v>
      </c>
      <c r="C78" s="142">
        <f t="shared" si="12"/>
        <v>1157.5043132000001</v>
      </c>
      <c r="D78" s="143">
        <v>958</v>
      </c>
      <c r="E78" s="143">
        <v>199.50431319999998</v>
      </c>
      <c r="F78" s="144"/>
      <c r="G78" s="142">
        <f t="shared" si="13"/>
        <v>1094.7061465300001</v>
      </c>
      <c r="H78" s="143">
        <v>894</v>
      </c>
      <c r="I78" s="143">
        <v>200.70614653000001</v>
      </c>
      <c r="J78" s="144"/>
    </row>
    <row r="79" spans="1:10" ht="15.75" thickBot="1" x14ac:dyDescent="0.3">
      <c r="B79" s="73" t="s">
        <v>106</v>
      </c>
      <c r="J79" s="73" t="s">
        <v>77</v>
      </c>
    </row>
    <row r="80" spans="1:10" ht="18.75" customHeight="1" x14ac:dyDescent="0.25">
      <c r="A80" s="764" t="s">
        <v>0</v>
      </c>
      <c r="B80" s="767" t="s">
        <v>4</v>
      </c>
      <c r="C80" s="774" t="s">
        <v>2</v>
      </c>
      <c r="D80" s="775"/>
      <c r="E80" s="775"/>
      <c r="F80" s="776"/>
      <c r="G80" s="774" t="s">
        <v>1</v>
      </c>
      <c r="H80" s="775"/>
      <c r="I80" s="775"/>
      <c r="J80" s="776"/>
    </row>
    <row r="81" spans="1:10" ht="18.75" customHeight="1" x14ac:dyDescent="0.25">
      <c r="A81" s="765"/>
      <c r="B81" s="768"/>
      <c r="C81" s="777" t="s">
        <v>75</v>
      </c>
      <c r="D81" s="778" t="s">
        <v>5</v>
      </c>
      <c r="E81" s="779"/>
      <c r="F81" s="780"/>
      <c r="G81" s="777" t="s">
        <v>75</v>
      </c>
      <c r="H81" s="778" t="s">
        <v>5</v>
      </c>
      <c r="I81" s="779"/>
      <c r="J81" s="780"/>
    </row>
    <row r="82" spans="1:10" ht="38.25" customHeight="1" thickBot="1" x14ac:dyDescent="0.3">
      <c r="A82" s="766"/>
      <c r="B82" s="769"/>
      <c r="C82" s="766"/>
      <c r="D82" s="130" t="s">
        <v>122</v>
      </c>
      <c r="E82" s="130" t="s">
        <v>123</v>
      </c>
      <c r="F82" s="131" t="s">
        <v>121</v>
      </c>
      <c r="G82" s="766"/>
      <c r="H82" s="130" t="s">
        <v>122</v>
      </c>
      <c r="I82" s="130" t="s">
        <v>123</v>
      </c>
      <c r="J82" s="131" t="s">
        <v>121</v>
      </c>
    </row>
    <row r="83" spans="1:10" ht="23.25" thickBot="1" x14ac:dyDescent="0.3">
      <c r="A83" s="761" t="s">
        <v>3</v>
      </c>
      <c r="B83" s="762"/>
      <c r="C83" s="133">
        <f>SUM(C85:C97)</f>
        <v>5022.1074119900004</v>
      </c>
      <c r="D83" s="134">
        <f t="shared" ref="D83:J83" si="14">SUM(D85:D97)</f>
        <v>4073</v>
      </c>
      <c r="E83" s="134">
        <f t="shared" si="14"/>
        <v>849.10741198999983</v>
      </c>
      <c r="F83" s="135">
        <f t="shared" si="14"/>
        <v>100</v>
      </c>
      <c r="G83" s="147">
        <f t="shared" si="14"/>
        <v>4981.5225169899995</v>
      </c>
      <c r="H83" s="134">
        <f t="shared" si="14"/>
        <v>4027</v>
      </c>
      <c r="I83" s="134">
        <f t="shared" si="14"/>
        <v>854.52251698999999</v>
      </c>
      <c r="J83" s="135">
        <f t="shared" si="14"/>
        <v>100</v>
      </c>
    </row>
    <row r="84" spans="1:10" ht="23.25" x14ac:dyDescent="0.25">
      <c r="A84" s="175"/>
      <c r="B84" s="55"/>
      <c r="C84" s="139"/>
      <c r="D84" s="140"/>
      <c r="E84" s="140"/>
      <c r="F84" s="141"/>
      <c r="G84" s="149"/>
      <c r="H84" s="140"/>
      <c r="I84" s="140"/>
      <c r="J84" s="141"/>
    </row>
    <row r="85" spans="1:10" ht="23.25" x14ac:dyDescent="0.25">
      <c r="A85" s="50">
        <v>1</v>
      </c>
      <c r="B85" s="51" t="s">
        <v>6</v>
      </c>
      <c r="C85" s="136">
        <f t="shared" ref="C85:C97" si="15">+D85+E85+F85</f>
        <v>783.75237663999997</v>
      </c>
      <c r="D85" s="137">
        <v>568</v>
      </c>
      <c r="E85" s="137">
        <v>215.75237663999997</v>
      </c>
      <c r="F85" s="138"/>
      <c r="G85" s="148">
        <f t="shared" ref="G85:G97" si="16">+H85+I85+J85</f>
        <v>635.05208975999994</v>
      </c>
      <c r="H85" s="137">
        <v>418</v>
      </c>
      <c r="I85" s="137">
        <v>217.05208975999994</v>
      </c>
      <c r="J85" s="138"/>
    </row>
    <row r="86" spans="1:10" ht="23.25" x14ac:dyDescent="0.25">
      <c r="A86" s="118">
        <v>2</v>
      </c>
      <c r="B86" s="55" t="s">
        <v>7</v>
      </c>
      <c r="C86" s="139">
        <f t="shared" si="15"/>
        <v>426.34609016000002</v>
      </c>
      <c r="D86" s="140">
        <v>381</v>
      </c>
      <c r="E86" s="140">
        <v>45.346090160000017</v>
      </c>
      <c r="F86" s="141"/>
      <c r="G86" s="149">
        <f t="shared" si="16"/>
        <v>327.91925938999998</v>
      </c>
      <c r="H86" s="140">
        <v>282</v>
      </c>
      <c r="I86" s="140">
        <v>45.919259389999979</v>
      </c>
      <c r="J86" s="141"/>
    </row>
    <row r="87" spans="1:10" ht="23.25" x14ac:dyDescent="0.25">
      <c r="A87" s="118">
        <v>3</v>
      </c>
      <c r="B87" s="55" t="s">
        <v>8</v>
      </c>
      <c r="C87" s="139">
        <f t="shared" si="15"/>
        <v>313.68430670999999</v>
      </c>
      <c r="D87" s="140">
        <v>168</v>
      </c>
      <c r="E87" s="140">
        <v>45.684306709999987</v>
      </c>
      <c r="F87" s="141">
        <v>100</v>
      </c>
      <c r="G87" s="149">
        <f t="shared" si="16"/>
        <v>245.95951341999998</v>
      </c>
      <c r="H87" s="140">
        <v>100</v>
      </c>
      <c r="I87" s="140">
        <v>45.959513419999979</v>
      </c>
      <c r="J87" s="141">
        <v>100</v>
      </c>
    </row>
    <row r="88" spans="1:10" ht="23.25" x14ac:dyDescent="0.25">
      <c r="A88" s="118">
        <v>4</v>
      </c>
      <c r="B88" s="55" t="s">
        <v>9</v>
      </c>
      <c r="C88" s="139">
        <f t="shared" si="15"/>
        <v>318.16836652000001</v>
      </c>
      <c r="D88" s="140">
        <v>260</v>
      </c>
      <c r="E88" s="140">
        <v>58.168366520000006</v>
      </c>
      <c r="F88" s="141"/>
      <c r="G88" s="149">
        <f t="shared" si="16"/>
        <v>418.51877841000004</v>
      </c>
      <c r="H88" s="140">
        <v>360</v>
      </c>
      <c r="I88" s="140">
        <v>58.518778410000039</v>
      </c>
      <c r="J88" s="141"/>
    </row>
    <row r="89" spans="1:10" ht="23.25" x14ac:dyDescent="0.25">
      <c r="A89" s="118">
        <v>5</v>
      </c>
      <c r="B89" s="55" t="s">
        <v>10</v>
      </c>
      <c r="C89" s="139">
        <f t="shared" si="15"/>
        <v>858.10617397999999</v>
      </c>
      <c r="D89" s="140">
        <v>737</v>
      </c>
      <c r="E89" s="140">
        <v>121.10617397999999</v>
      </c>
      <c r="F89" s="141"/>
      <c r="G89" s="149">
        <f t="shared" si="16"/>
        <v>508.83572927</v>
      </c>
      <c r="H89" s="140">
        <v>387</v>
      </c>
      <c r="I89" s="140">
        <v>121.83572927</v>
      </c>
      <c r="J89" s="141"/>
    </row>
    <row r="90" spans="1:10" ht="23.25" x14ac:dyDescent="0.25">
      <c r="A90" s="118">
        <v>6</v>
      </c>
      <c r="B90" s="55" t="s">
        <v>11</v>
      </c>
      <c r="C90" s="139">
        <f t="shared" si="15"/>
        <v>168.31535074999999</v>
      </c>
      <c r="D90" s="140">
        <v>100</v>
      </c>
      <c r="E90" s="140">
        <v>68.315350749999993</v>
      </c>
      <c r="F90" s="141"/>
      <c r="G90" s="149">
        <f t="shared" si="16"/>
        <v>590.7268889799999</v>
      </c>
      <c r="H90" s="140">
        <v>522</v>
      </c>
      <c r="I90" s="140">
        <v>68.726888979999899</v>
      </c>
      <c r="J90" s="141"/>
    </row>
    <row r="91" spans="1:10" ht="23.25" x14ac:dyDescent="0.25">
      <c r="A91" s="118">
        <v>7</v>
      </c>
      <c r="B91" s="55" t="s">
        <v>12</v>
      </c>
      <c r="C91" s="139">
        <f t="shared" si="15"/>
        <v>446.48841886000002</v>
      </c>
      <c r="D91" s="140">
        <v>364</v>
      </c>
      <c r="E91" s="140">
        <v>82.488418860000024</v>
      </c>
      <c r="F91" s="141"/>
      <c r="G91" s="149">
        <f t="shared" si="16"/>
        <v>396.98533700999997</v>
      </c>
      <c r="H91" s="140">
        <v>314</v>
      </c>
      <c r="I91" s="140">
        <v>82.985337009999967</v>
      </c>
      <c r="J91" s="141"/>
    </row>
    <row r="92" spans="1:10" ht="23.25" x14ac:dyDescent="0.25">
      <c r="A92" s="118">
        <v>8</v>
      </c>
      <c r="B92" s="55" t="s">
        <v>13</v>
      </c>
      <c r="C92" s="139">
        <f t="shared" si="15"/>
        <v>367.92964738000001</v>
      </c>
      <c r="D92" s="140">
        <v>314</v>
      </c>
      <c r="E92" s="140">
        <v>53.929647380000006</v>
      </c>
      <c r="F92" s="141"/>
      <c r="G92" s="149">
        <f t="shared" si="16"/>
        <v>368.25452478</v>
      </c>
      <c r="H92" s="140">
        <v>314</v>
      </c>
      <c r="I92" s="140">
        <v>54.254524779999997</v>
      </c>
      <c r="J92" s="141"/>
    </row>
    <row r="93" spans="1:10" ht="23.25" x14ac:dyDescent="0.25">
      <c r="A93" s="118">
        <v>9</v>
      </c>
      <c r="B93" s="55" t="s">
        <v>14</v>
      </c>
      <c r="C93" s="139">
        <f t="shared" si="15"/>
        <v>272.88420076</v>
      </c>
      <c r="D93" s="140">
        <v>228</v>
      </c>
      <c r="E93" s="140">
        <v>44.884200759999999</v>
      </c>
      <c r="F93" s="141"/>
      <c r="G93" s="149">
        <f t="shared" si="16"/>
        <v>373.15458753000001</v>
      </c>
      <c r="H93" s="140">
        <v>328</v>
      </c>
      <c r="I93" s="140">
        <v>45.154587530000015</v>
      </c>
      <c r="J93" s="141"/>
    </row>
    <row r="94" spans="1:10" ht="23.25" x14ac:dyDescent="0.25">
      <c r="A94" s="118">
        <v>10</v>
      </c>
      <c r="B94" s="55" t="s">
        <v>15</v>
      </c>
      <c r="C94" s="139">
        <f t="shared" si="15"/>
        <v>214.68770286</v>
      </c>
      <c r="D94" s="140">
        <v>189</v>
      </c>
      <c r="E94" s="140">
        <v>25.687702860000002</v>
      </c>
      <c r="F94" s="141"/>
      <c r="G94" s="149">
        <f t="shared" si="16"/>
        <v>214.84244804000002</v>
      </c>
      <c r="H94" s="140">
        <v>189</v>
      </c>
      <c r="I94" s="140">
        <v>25.842448040000022</v>
      </c>
      <c r="J94" s="141"/>
    </row>
    <row r="95" spans="1:10" ht="23.25" x14ac:dyDescent="0.25">
      <c r="A95" s="118">
        <v>11</v>
      </c>
      <c r="B95" s="55" t="s">
        <v>16</v>
      </c>
      <c r="C95" s="139">
        <f t="shared" si="15"/>
        <v>276.99222829000001</v>
      </c>
      <c r="D95" s="140">
        <v>230</v>
      </c>
      <c r="E95" s="140">
        <v>46.992228290000014</v>
      </c>
      <c r="F95" s="141"/>
      <c r="G95" s="149">
        <f t="shared" si="16"/>
        <v>327.27531400999999</v>
      </c>
      <c r="H95" s="140">
        <v>280</v>
      </c>
      <c r="I95" s="140">
        <v>47.275314009999988</v>
      </c>
      <c r="J95" s="141"/>
    </row>
    <row r="96" spans="1:10" ht="23.25" x14ac:dyDescent="0.25">
      <c r="A96" s="118">
        <v>12</v>
      </c>
      <c r="B96" s="55" t="s">
        <v>17</v>
      </c>
      <c r="C96" s="139">
        <f t="shared" si="15"/>
        <v>366.67777042</v>
      </c>
      <c r="D96" s="140">
        <v>336</v>
      </c>
      <c r="E96" s="140">
        <v>30.677770420000002</v>
      </c>
      <c r="F96" s="141"/>
      <c r="G96" s="149">
        <f t="shared" si="16"/>
        <v>365.86257627000003</v>
      </c>
      <c r="H96" s="140">
        <v>335</v>
      </c>
      <c r="I96" s="140">
        <v>30.862576270000034</v>
      </c>
      <c r="J96" s="141"/>
    </row>
    <row r="97" spans="1:10" ht="24" thickBot="1" x14ac:dyDescent="0.3">
      <c r="A97" s="119">
        <v>13</v>
      </c>
      <c r="B97" s="56" t="s">
        <v>18</v>
      </c>
      <c r="C97" s="142">
        <f t="shared" si="15"/>
        <v>208.07477865999999</v>
      </c>
      <c r="D97" s="143">
        <v>198</v>
      </c>
      <c r="E97" s="143">
        <v>10.074778659999993</v>
      </c>
      <c r="F97" s="144"/>
      <c r="G97" s="150">
        <f t="shared" si="16"/>
        <v>208.13547012000001</v>
      </c>
      <c r="H97" s="143">
        <v>198</v>
      </c>
      <c r="I97" s="143">
        <v>10.135470120000008</v>
      </c>
      <c r="J97" s="144"/>
    </row>
  </sheetData>
  <mergeCells count="48">
    <mergeCell ref="C42:F42"/>
    <mergeCell ref="G42:J42"/>
    <mergeCell ref="C43:C44"/>
    <mergeCell ref="D43:F43"/>
    <mergeCell ref="G43:G44"/>
    <mergeCell ref="H43:J43"/>
    <mergeCell ref="B1:J1"/>
    <mergeCell ref="B2:J2"/>
    <mergeCell ref="A4:A6"/>
    <mergeCell ref="B4:B6"/>
    <mergeCell ref="C4:F4"/>
    <mergeCell ref="G4:J4"/>
    <mergeCell ref="C5:C6"/>
    <mergeCell ref="D5:F5"/>
    <mergeCell ref="G5:G6"/>
    <mergeCell ref="H5:J5"/>
    <mergeCell ref="C61:F61"/>
    <mergeCell ref="G61:J61"/>
    <mergeCell ref="C62:C63"/>
    <mergeCell ref="D62:F62"/>
    <mergeCell ref="G62:G63"/>
    <mergeCell ref="H62:J62"/>
    <mergeCell ref="C80:F80"/>
    <mergeCell ref="G80:J80"/>
    <mergeCell ref="C81:C82"/>
    <mergeCell ref="D81:F81"/>
    <mergeCell ref="G81:G82"/>
    <mergeCell ref="H81:J81"/>
    <mergeCell ref="A83:B83"/>
    <mergeCell ref="A3:B3"/>
    <mergeCell ref="A64:B64"/>
    <mergeCell ref="A80:A82"/>
    <mergeCell ref="B80:B82"/>
    <mergeCell ref="A61:A63"/>
    <mergeCell ref="B61:B63"/>
    <mergeCell ref="A7:B7"/>
    <mergeCell ref="A42:A44"/>
    <mergeCell ref="B42:B44"/>
    <mergeCell ref="A45:B45"/>
    <mergeCell ref="A23:A25"/>
    <mergeCell ref="B23:B25"/>
    <mergeCell ref="A26:B26"/>
    <mergeCell ref="C23:F23"/>
    <mergeCell ref="G23:J23"/>
    <mergeCell ref="C24:C25"/>
    <mergeCell ref="D24:F24"/>
    <mergeCell ref="G24:G25"/>
    <mergeCell ref="H24:J24"/>
  </mergeCells>
  <printOptions horizontalCentered="1" verticalCentered="1"/>
  <pageMargins left="0.19685039370078741" right="0.19685039370078741" top="0.19685039370078741" bottom="0.19685039370078741" header="0.19685039370078741" footer="0.19685039370078741"/>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2"/>
  <sheetViews>
    <sheetView view="pageBreakPreview" zoomScale="55" zoomScaleNormal="73" zoomScaleSheetLayoutView="55" workbookViewId="0">
      <pane xSplit="2" ySplit="7" topLeftCell="C8" activePane="bottomRight" state="frozen"/>
      <selection pane="topRight" activeCell="C1" sqref="C1"/>
      <selection pane="bottomLeft" activeCell="A9" sqref="A9"/>
      <selection pane="bottomRight" activeCell="M6" sqref="M6"/>
    </sheetView>
  </sheetViews>
  <sheetFormatPr defaultRowHeight="15" x14ac:dyDescent="0.25"/>
  <cols>
    <col min="1" max="1" width="6.140625" style="45" customWidth="1"/>
    <col min="2" max="2" width="40" style="45" bestFit="1" customWidth="1"/>
    <col min="3" max="12" width="17.28515625" style="45" customWidth="1"/>
    <col min="13" max="14" width="9.140625" style="45"/>
    <col min="15" max="15" width="16.85546875" style="45" bestFit="1" customWidth="1"/>
    <col min="16" max="16" width="12.42578125" style="45" bestFit="1" customWidth="1"/>
    <col min="17" max="16384" width="9.140625" style="45"/>
  </cols>
  <sheetData>
    <row r="1" spans="1:26" ht="87.75" customHeight="1" x14ac:dyDescent="0.25">
      <c r="A1" s="44"/>
      <c r="B1" s="781" t="s">
        <v>93</v>
      </c>
      <c r="C1" s="781"/>
      <c r="D1" s="781"/>
      <c r="E1" s="781"/>
      <c r="F1" s="781"/>
      <c r="G1" s="781"/>
      <c r="H1" s="781"/>
      <c r="I1" s="781"/>
      <c r="J1" s="781"/>
      <c r="K1" s="781"/>
      <c r="L1" s="781"/>
    </row>
    <row r="2" spans="1:26" ht="22.5" x14ac:dyDescent="0.25">
      <c r="A2" s="44"/>
      <c r="B2" s="781" t="s">
        <v>19</v>
      </c>
      <c r="C2" s="781"/>
      <c r="D2" s="781"/>
      <c r="E2" s="781"/>
      <c r="F2" s="781"/>
      <c r="G2" s="781"/>
      <c r="H2" s="781"/>
      <c r="I2" s="781"/>
      <c r="J2" s="781"/>
      <c r="K2" s="781"/>
      <c r="L2" s="781"/>
    </row>
    <row r="3" spans="1:26" ht="23.25" thickBot="1" x14ac:dyDescent="0.3">
      <c r="A3" s="795" t="str">
        <f>+'2022 йил'!A3:B3</f>
        <v>01.01.2023 йил ҳолатига</v>
      </c>
      <c r="B3" s="795"/>
      <c r="C3" s="72"/>
      <c r="D3" s="72"/>
      <c r="E3" s="72"/>
      <c r="F3" s="159"/>
      <c r="G3" s="72"/>
      <c r="H3" s="72"/>
      <c r="I3" s="72"/>
      <c r="J3" s="72"/>
      <c r="K3" s="159"/>
      <c r="L3" s="73" t="s">
        <v>77</v>
      </c>
    </row>
    <row r="4" spans="1:26" s="46" customFormat="1" ht="36" customHeight="1" x14ac:dyDescent="0.25">
      <c r="A4" s="782" t="s">
        <v>0</v>
      </c>
      <c r="B4" s="785" t="s">
        <v>4</v>
      </c>
      <c r="C4" s="788" t="s">
        <v>2</v>
      </c>
      <c r="D4" s="789"/>
      <c r="E4" s="789"/>
      <c r="F4" s="790"/>
      <c r="G4" s="791"/>
      <c r="H4" s="788" t="s">
        <v>1</v>
      </c>
      <c r="I4" s="789"/>
      <c r="J4" s="789"/>
      <c r="K4" s="790"/>
      <c r="L4" s="791"/>
    </row>
    <row r="5" spans="1:26" ht="23.25" customHeight="1" x14ac:dyDescent="0.25">
      <c r="A5" s="783"/>
      <c r="B5" s="786"/>
      <c r="C5" s="783" t="s">
        <v>3</v>
      </c>
      <c r="D5" s="792" t="s">
        <v>128</v>
      </c>
      <c r="E5" s="792"/>
      <c r="F5" s="793"/>
      <c r="G5" s="794"/>
      <c r="H5" s="783" t="s">
        <v>3</v>
      </c>
      <c r="I5" s="792" t="s">
        <v>128</v>
      </c>
      <c r="J5" s="792"/>
      <c r="K5" s="793"/>
      <c r="L5" s="794"/>
    </row>
    <row r="6" spans="1:26" ht="42.75" customHeight="1" thickBot="1" x14ac:dyDescent="0.3">
      <c r="A6" s="784"/>
      <c r="B6" s="787"/>
      <c r="C6" s="784"/>
      <c r="D6" s="47" t="s">
        <v>119</v>
      </c>
      <c r="E6" s="47" t="s">
        <v>120</v>
      </c>
      <c r="F6" s="168" t="s">
        <v>124</v>
      </c>
      <c r="G6" s="123" t="s">
        <v>131</v>
      </c>
      <c r="H6" s="784"/>
      <c r="I6" s="47" t="s">
        <v>119</v>
      </c>
      <c r="J6" s="47" t="s">
        <v>120</v>
      </c>
      <c r="K6" s="168" t="s">
        <v>124</v>
      </c>
      <c r="L6" s="123" t="s">
        <v>131</v>
      </c>
      <c r="O6" s="27" t="s">
        <v>145</v>
      </c>
      <c r="P6" s="27" t="s">
        <v>145</v>
      </c>
    </row>
    <row r="7" spans="1:26" ht="47.25" customHeight="1" thickBot="1" x14ac:dyDescent="0.3">
      <c r="A7" s="761" t="s">
        <v>3</v>
      </c>
      <c r="B7" s="762"/>
      <c r="C7" s="60">
        <f>SUM(C8:C21)</f>
        <v>73300.164914039997</v>
      </c>
      <c r="D7" s="61">
        <f t="shared" ref="D7:L7" si="0">SUM(D8:D21)</f>
        <v>2141.9000000000005</v>
      </c>
      <c r="E7" s="61">
        <f t="shared" si="0"/>
        <v>15067.635379849999</v>
      </c>
      <c r="F7" s="169">
        <f t="shared" si="0"/>
        <v>25579.626739150004</v>
      </c>
      <c r="G7" s="62">
        <f t="shared" si="0"/>
        <v>30511.002795039996</v>
      </c>
      <c r="H7" s="60">
        <f t="shared" si="0"/>
        <v>65192.49189170001</v>
      </c>
      <c r="I7" s="61">
        <f t="shared" si="0"/>
        <v>2610.6999999999998</v>
      </c>
      <c r="J7" s="61">
        <f t="shared" si="0"/>
        <v>11316.453286599999</v>
      </c>
      <c r="K7" s="169">
        <f t="shared" si="0"/>
        <v>24130.508668459999</v>
      </c>
      <c r="L7" s="62">
        <f t="shared" si="0"/>
        <v>27134.829936639999</v>
      </c>
      <c r="N7" s="48"/>
      <c r="O7" s="120">
        <f>+Даромадлари!C7-Харажатлар!C7-'Свод (2020-2023)'!I7</f>
        <v>7.73070496506989E-12</v>
      </c>
      <c r="P7" s="120">
        <f>+Даромадлари!G7-Харажатлар!H7-'Свод (2020-2023)'!P7</f>
        <v>-8.1854523159563541E-12</v>
      </c>
      <c r="Q7" s="48"/>
      <c r="R7" s="57"/>
      <c r="W7" s="48"/>
      <c r="X7" s="48"/>
      <c r="Y7" s="48"/>
      <c r="Z7" s="48"/>
    </row>
    <row r="8" spans="1:26" s="54" customFormat="1" ht="47.25" customHeight="1" x14ac:dyDescent="0.25">
      <c r="A8" s="50">
        <v>1</v>
      </c>
      <c r="B8" s="51" t="s">
        <v>180</v>
      </c>
      <c r="C8" s="63">
        <f>SUM(D8:G8)</f>
        <v>1672.77409399</v>
      </c>
      <c r="D8" s="64"/>
      <c r="E8" s="64"/>
      <c r="F8" s="170">
        <f>+'2022 йил'!I8</f>
        <v>490.96175400000004</v>
      </c>
      <c r="G8" s="65">
        <f>+'2023 йил'!H8</f>
        <v>1181.8123399900001</v>
      </c>
      <c r="H8" s="63">
        <f>SUM(I8:L8)</f>
        <v>0</v>
      </c>
      <c r="I8" s="64"/>
      <c r="J8" s="64"/>
      <c r="K8" s="170">
        <f>+'2022 йил'!Q8</f>
        <v>0</v>
      </c>
      <c r="L8" s="65">
        <f>+'2023 йил'!O8</f>
        <v>0</v>
      </c>
      <c r="M8" s="52"/>
      <c r="N8" s="48"/>
      <c r="O8" s="120">
        <f>+Даромадлари!C8-Харажатлар!C8-'Свод (2020-2023)'!I8</f>
        <v>0</v>
      </c>
      <c r="P8" s="120">
        <f>+Даромадлари!G8-Харажатлар!H8-'Свод (2020-2023)'!P8</f>
        <v>0</v>
      </c>
      <c r="Q8" s="48"/>
      <c r="T8" s="53"/>
      <c r="W8" s="48"/>
      <c r="X8" s="48"/>
      <c r="Y8" s="48"/>
      <c r="Z8" s="48"/>
    </row>
    <row r="9" spans="1:26" s="54" customFormat="1" ht="47.25" customHeight="1" x14ac:dyDescent="0.25">
      <c r="A9" s="50">
        <v>2</v>
      </c>
      <c r="B9" s="51" t="s">
        <v>6</v>
      </c>
      <c r="C9" s="63">
        <f t="shared" ref="C9:C21" si="1">SUM(D9:G9)</f>
        <v>9466.0916885400002</v>
      </c>
      <c r="D9" s="64">
        <f>+'2020 йил'!I9</f>
        <v>371.3</v>
      </c>
      <c r="E9" s="64">
        <f>+'2021 йил'!I9</f>
        <v>1850.1972485400001</v>
      </c>
      <c r="F9" s="170">
        <f>+'2022 йил'!I9</f>
        <v>3391.5221940000001</v>
      </c>
      <c r="G9" s="65">
        <f>+'2023 йил'!H9</f>
        <v>3853.0722460000002</v>
      </c>
      <c r="H9" s="63">
        <f t="shared" ref="H9:H21" si="2">SUM(I9:L9)</f>
        <v>9511.4521062000003</v>
      </c>
      <c r="I9" s="64">
        <f>+'2020 йил'!T9</f>
        <v>597.6</v>
      </c>
      <c r="J9" s="64">
        <f>+'2021 йил'!T9</f>
        <v>1386.0112420000003</v>
      </c>
      <c r="K9" s="170">
        <f>+'2022 йил'!Q9</f>
        <v>3245.5346960000002</v>
      </c>
      <c r="L9" s="65">
        <f>+'2023 йил'!O9</f>
        <v>4282.3061681999998</v>
      </c>
      <c r="M9" s="52"/>
      <c r="N9" s="48"/>
      <c r="O9" s="120">
        <f>+Даромадлари!C9-Харажатлар!C9-'Свод (2020-2023)'!I9</f>
        <v>0</v>
      </c>
      <c r="P9" s="120">
        <f>+Даромадлари!G9-Харажатлар!H9-'Свод (2020-2023)'!P9</f>
        <v>0</v>
      </c>
      <c r="Q9" s="48"/>
      <c r="T9" s="53"/>
      <c r="W9" s="48"/>
      <c r="X9" s="48"/>
      <c r="Y9" s="48"/>
      <c r="Z9" s="48"/>
    </row>
    <row r="10" spans="1:26" s="54" customFormat="1" ht="47.25" customHeight="1" x14ac:dyDescent="0.25">
      <c r="A10" s="175">
        <v>3</v>
      </c>
      <c r="B10" s="55" t="s">
        <v>7</v>
      </c>
      <c r="C10" s="66">
        <f t="shared" si="1"/>
        <v>5481.5068730200001</v>
      </c>
      <c r="D10" s="64">
        <f>+'2020 йил'!I10</f>
        <v>379.4</v>
      </c>
      <c r="E10" s="67">
        <f>+'2021 йил'!I10</f>
        <v>1218.7339550199999</v>
      </c>
      <c r="F10" s="171">
        <f>+'2022 йил'!I10</f>
        <v>1769.137477</v>
      </c>
      <c r="G10" s="68">
        <f>+'2023 йил'!H10</f>
        <v>2114.2354409999998</v>
      </c>
      <c r="H10" s="66">
        <f t="shared" si="2"/>
        <v>4353.8854499999998</v>
      </c>
      <c r="I10" s="64">
        <f>+'2020 йил'!T10</f>
        <v>300.10000000000002</v>
      </c>
      <c r="J10" s="64">
        <f>+'2021 йил'!T10</f>
        <v>799.07119999999998</v>
      </c>
      <c r="K10" s="170">
        <f>+'2022 йил'!Q10</f>
        <v>1594.6677500000001</v>
      </c>
      <c r="L10" s="65">
        <f>+'2023 йил'!O10</f>
        <v>1660.0464999999999</v>
      </c>
      <c r="N10" s="48"/>
      <c r="O10" s="120">
        <f>+Даромадлари!C10-Харажатлар!C10-'Свод (2020-2023)'!I10</f>
        <v>0</v>
      </c>
      <c r="P10" s="120">
        <f>+Даромадлари!G10-Харажатлар!H10-'Свод (2020-2023)'!P10</f>
        <v>0</v>
      </c>
      <c r="Q10" s="48"/>
      <c r="T10" s="53"/>
      <c r="U10" s="53"/>
      <c r="W10" s="48"/>
      <c r="X10" s="48"/>
      <c r="Y10" s="48"/>
      <c r="Z10" s="48"/>
    </row>
    <row r="11" spans="1:26" s="54" customFormat="1" ht="47.25" customHeight="1" x14ac:dyDescent="0.25">
      <c r="A11" s="50">
        <v>4</v>
      </c>
      <c r="B11" s="55" t="s">
        <v>8</v>
      </c>
      <c r="C11" s="66">
        <f t="shared" si="1"/>
        <v>5601.8957740400001</v>
      </c>
      <c r="D11" s="64">
        <f>+'2020 йил'!I11</f>
        <v>210</v>
      </c>
      <c r="E11" s="67">
        <f>+'2021 йил'!I11</f>
        <v>1127.508431</v>
      </c>
      <c r="F11" s="171">
        <f>+'2022 йил'!I11</f>
        <v>2185.5670930000001</v>
      </c>
      <c r="G11" s="68">
        <f>+'2023 йил'!H11</f>
        <v>2078.8202500400002</v>
      </c>
      <c r="H11" s="66">
        <f t="shared" si="2"/>
        <v>4888.5704230399997</v>
      </c>
      <c r="I11" s="64">
        <f>+'2020 йил'!T11</f>
        <v>167.8</v>
      </c>
      <c r="J11" s="64">
        <f>+'2021 йил'!T11</f>
        <v>784.90571599999998</v>
      </c>
      <c r="K11" s="170">
        <f>+'2022 йил'!Q11</f>
        <v>2301.3077679999997</v>
      </c>
      <c r="L11" s="65">
        <f>+'2023 йил'!O11</f>
        <v>1634.5569390400003</v>
      </c>
      <c r="N11" s="48"/>
      <c r="O11" s="120">
        <f>+Даромадлари!C11-Харажатлар!C11-'Свод (2020-2023)'!I11</f>
        <v>0</v>
      </c>
      <c r="P11" s="120">
        <f>+Даромадлари!G11-Харажатлар!H11-'Свод (2020-2023)'!P11</f>
        <v>0</v>
      </c>
      <c r="Q11" s="48"/>
      <c r="T11" s="53"/>
      <c r="W11" s="48"/>
      <c r="X11" s="48"/>
      <c r="Y11" s="48"/>
      <c r="Z11" s="48"/>
    </row>
    <row r="12" spans="1:26" s="54" customFormat="1" ht="47.25" customHeight="1" x14ac:dyDescent="0.25">
      <c r="A12" s="175">
        <v>5</v>
      </c>
      <c r="B12" s="55" t="s">
        <v>9</v>
      </c>
      <c r="C12" s="66">
        <f t="shared" si="1"/>
        <v>4951.730098</v>
      </c>
      <c r="D12" s="64">
        <f>+'2020 йил'!I12</f>
        <v>0</v>
      </c>
      <c r="E12" s="67">
        <f>+'2021 йил'!I12</f>
        <v>828.00875999999994</v>
      </c>
      <c r="F12" s="171">
        <f>+'2022 йил'!I12</f>
        <v>1773.7893960000001</v>
      </c>
      <c r="G12" s="68">
        <f>+'2023 йил'!H12</f>
        <v>2349.9319420000002</v>
      </c>
      <c r="H12" s="66">
        <f t="shared" si="2"/>
        <v>5230.4530335500003</v>
      </c>
      <c r="I12" s="64">
        <f>+'2020 йил'!T12</f>
        <v>0</v>
      </c>
      <c r="J12" s="64">
        <f>+'2021 йил'!T12</f>
        <v>1222.8660015999999</v>
      </c>
      <c r="K12" s="170">
        <f>+'2022 йил'!Q12</f>
        <v>1954.029176</v>
      </c>
      <c r="L12" s="65">
        <f>+'2023 йил'!O12</f>
        <v>2053.55785595</v>
      </c>
      <c r="N12" s="48"/>
      <c r="O12" s="120">
        <f>+Даромадлари!C12-Харажатлар!C12-'Свод (2020-2023)'!I12</f>
        <v>0</v>
      </c>
      <c r="P12" s="120">
        <f>+Даромадлари!G12-Харажатлар!H12-'Свод (2020-2023)'!P12</f>
        <v>0</v>
      </c>
      <c r="Q12" s="48"/>
      <c r="T12" s="53"/>
      <c r="W12" s="48"/>
      <c r="X12" s="48"/>
      <c r="Y12" s="48"/>
      <c r="Z12" s="48"/>
    </row>
    <row r="13" spans="1:26" s="54" customFormat="1" ht="47.25" customHeight="1" x14ac:dyDescent="0.25">
      <c r="A13" s="50">
        <v>6</v>
      </c>
      <c r="B13" s="55" t="s">
        <v>10</v>
      </c>
      <c r="C13" s="66">
        <f t="shared" si="1"/>
        <v>6887.5305964899999</v>
      </c>
      <c r="D13" s="64">
        <f>+'2020 йил'!I13</f>
        <v>0</v>
      </c>
      <c r="E13" s="67">
        <f>+'2021 йил'!I13</f>
        <v>2011.2642901900001</v>
      </c>
      <c r="F13" s="171">
        <f>+'2022 йил'!I13</f>
        <v>1978.9932522999998</v>
      </c>
      <c r="G13" s="68">
        <f>+'2023 йил'!H13</f>
        <v>2897.2730540000002</v>
      </c>
      <c r="H13" s="66">
        <f t="shared" si="2"/>
        <v>5768.2406726999998</v>
      </c>
      <c r="I13" s="64">
        <f>+'2020 йил'!T13</f>
        <v>0</v>
      </c>
      <c r="J13" s="64">
        <f>+'2021 йил'!T13</f>
        <v>1351.7541740000001</v>
      </c>
      <c r="K13" s="170">
        <f>+'2022 йил'!Q13</f>
        <v>1760.2596640000002</v>
      </c>
      <c r="L13" s="65">
        <f>+'2023 йил'!O13</f>
        <v>2656.2268346999999</v>
      </c>
      <c r="N13" s="48"/>
      <c r="O13" s="120">
        <f>+Даромадлари!C13-Харажатлар!C13-'Свод (2020-2023)'!I13</f>
        <v>0</v>
      </c>
      <c r="P13" s="120">
        <f>+Даромадлари!G13-Харажатлар!H13-'Свод (2020-2023)'!P13</f>
        <v>0</v>
      </c>
      <c r="Q13" s="48"/>
      <c r="S13" s="53"/>
      <c r="T13" s="53"/>
      <c r="W13" s="48"/>
      <c r="X13" s="48"/>
      <c r="Y13" s="48"/>
      <c r="Z13" s="48"/>
    </row>
    <row r="14" spans="1:26" s="54" customFormat="1" ht="47.25" customHeight="1" x14ac:dyDescent="0.25">
      <c r="A14" s="175">
        <v>7</v>
      </c>
      <c r="B14" s="55" t="s">
        <v>11</v>
      </c>
      <c r="C14" s="66">
        <f t="shared" si="1"/>
        <v>5500.5066069999993</v>
      </c>
      <c r="D14" s="64">
        <f>+'2020 йил'!I14</f>
        <v>166.1</v>
      </c>
      <c r="E14" s="67">
        <f>+'2021 йил'!I14</f>
        <v>1086.5250310000001</v>
      </c>
      <c r="F14" s="171">
        <f>+'2022 йил'!I14</f>
        <v>2107.679725</v>
      </c>
      <c r="G14" s="68">
        <f>+'2023 йил'!H14</f>
        <v>2140.2018509999998</v>
      </c>
      <c r="H14" s="66">
        <f t="shared" si="2"/>
        <v>5869.3874720000003</v>
      </c>
      <c r="I14" s="64">
        <f>+'2020 йил'!T14</f>
        <v>396.1</v>
      </c>
      <c r="J14" s="64">
        <f>+'2021 йил'!T14</f>
        <v>1037.247269</v>
      </c>
      <c r="K14" s="170">
        <f>+'2022 йил'!Q14</f>
        <v>2262.8744459999998</v>
      </c>
      <c r="L14" s="65">
        <f>+'2023 йил'!O14</f>
        <v>2173.1657570000002</v>
      </c>
      <c r="N14" s="48"/>
      <c r="O14" s="120">
        <f>+Даромадлари!C14-Харажатлар!C14-'Свод (2020-2023)'!I14</f>
        <v>0</v>
      </c>
      <c r="P14" s="120">
        <f>+Даромадлари!G14-Харажатлар!H14-'Свод (2020-2023)'!P14</f>
        <v>0</v>
      </c>
      <c r="Q14" s="48"/>
      <c r="T14" s="53"/>
      <c r="W14" s="48"/>
      <c r="X14" s="48"/>
      <c r="Y14" s="48"/>
      <c r="Z14" s="48"/>
    </row>
    <row r="15" spans="1:26" s="54" customFormat="1" ht="47.25" customHeight="1" x14ac:dyDescent="0.25">
      <c r="A15" s="50">
        <v>8</v>
      </c>
      <c r="B15" s="55" t="s">
        <v>12</v>
      </c>
      <c r="C15" s="66">
        <f t="shared" si="1"/>
        <v>6308.9381581300004</v>
      </c>
      <c r="D15" s="64">
        <f>+'2020 йил'!I15</f>
        <v>415.8</v>
      </c>
      <c r="E15" s="67">
        <f>+'2021 йил'!I15</f>
        <v>1119.7415361000001</v>
      </c>
      <c r="F15" s="171">
        <f>+'2022 йил'!I15</f>
        <v>2299.3272050199998</v>
      </c>
      <c r="G15" s="68">
        <f>+'2023 йил'!H15</f>
        <v>2474.0694170100005</v>
      </c>
      <c r="H15" s="66">
        <f t="shared" si="2"/>
        <v>5916.249025000001</v>
      </c>
      <c r="I15" s="64">
        <f>+'2020 йил'!T15</f>
        <v>369.4</v>
      </c>
      <c r="J15" s="64">
        <f>+'2021 йил'!T15</f>
        <v>676.45201399999996</v>
      </c>
      <c r="K15" s="170">
        <f>+'2022 йил'!Q15</f>
        <v>2496.7339000000002</v>
      </c>
      <c r="L15" s="65">
        <f>+'2023 йил'!O15</f>
        <v>2373.6631110000003</v>
      </c>
      <c r="N15" s="48"/>
      <c r="O15" s="120">
        <f>+Даромадлари!C15-Харажатлар!C15-'Свод (2020-2023)'!I15</f>
        <v>0</v>
      </c>
      <c r="P15" s="120">
        <f>+Даромадлари!G15-Харажатлар!H15-'Свод (2020-2023)'!P15</f>
        <v>0</v>
      </c>
      <c r="Q15" s="48"/>
      <c r="T15" s="53"/>
      <c r="W15" s="48"/>
      <c r="X15" s="48"/>
      <c r="Y15" s="48"/>
      <c r="Z15" s="48"/>
    </row>
    <row r="16" spans="1:26" s="54" customFormat="1" ht="47.25" customHeight="1" x14ac:dyDescent="0.25">
      <c r="A16" s="175">
        <v>9</v>
      </c>
      <c r="B16" s="55" t="s">
        <v>13</v>
      </c>
      <c r="C16" s="66">
        <f t="shared" si="1"/>
        <v>4731.1077500000001</v>
      </c>
      <c r="D16" s="64">
        <f>+'2020 йил'!I16</f>
        <v>33.700000000000003</v>
      </c>
      <c r="E16" s="67">
        <f>+'2021 йил'!I16</f>
        <v>1357.675823</v>
      </c>
      <c r="F16" s="171">
        <f>+'2022 йил'!I16</f>
        <v>1475.8732689999999</v>
      </c>
      <c r="G16" s="68">
        <f>+'2023 йил'!H16</f>
        <v>1863.8586580000001</v>
      </c>
      <c r="H16" s="66">
        <f t="shared" si="2"/>
        <v>4775.4525200000007</v>
      </c>
      <c r="I16" s="64">
        <f>+'2020 йил'!T16</f>
        <v>32.1</v>
      </c>
      <c r="J16" s="64">
        <f>+'2021 йил'!T16</f>
        <v>1371.8822</v>
      </c>
      <c r="K16" s="170">
        <f>+'2022 йил'!Q16</f>
        <v>1459.56395</v>
      </c>
      <c r="L16" s="65">
        <f>+'2023 йил'!O16</f>
        <v>1911.9063700000002</v>
      </c>
      <c r="N16" s="48"/>
      <c r="O16" s="120">
        <f>+Даромадлари!C16-Харажатлар!C16-'Свод (2020-2023)'!I16</f>
        <v>0</v>
      </c>
      <c r="P16" s="120">
        <f>+Даромадлари!G16-Харажатлар!H16-'Свод (2020-2023)'!P16</f>
        <v>0</v>
      </c>
      <c r="Q16" s="48"/>
      <c r="S16" s="97"/>
      <c r="T16" s="53"/>
      <c r="W16" s="48"/>
      <c r="X16" s="48"/>
      <c r="Y16" s="48"/>
      <c r="Z16" s="48"/>
    </row>
    <row r="17" spans="1:26" s="54" customFormat="1" ht="47.25" customHeight="1" x14ac:dyDescent="0.25">
      <c r="A17" s="50">
        <v>10</v>
      </c>
      <c r="B17" s="55" t="s">
        <v>14</v>
      </c>
      <c r="C17" s="66">
        <f t="shared" si="1"/>
        <v>4130.55890808</v>
      </c>
      <c r="D17" s="64">
        <f>+'2020 йил'!I17</f>
        <v>272.7</v>
      </c>
      <c r="E17" s="67">
        <f>+'2021 йил'!I17</f>
        <v>404.31419999999997</v>
      </c>
      <c r="F17" s="171">
        <f>+'2022 йил'!I17</f>
        <v>1470.20658308</v>
      </c>
      <c r="G17" s="68">
        <f>+'2023 йил'!H17</f>
        <v>1983.338125</v>
      </c>
      <c r="H17" s="66">
        <f t="shared" si="2"/>
        <v>4103.1963262499994</v>
      </c>
      <c r="I17" s="64">
        <f>+'2020 йил'!T17</f>
        <v>373</v>
      </c>
      <c r="J17" s="64">
        <f>+'2021 йил'!T17</f>
        <v>330.06274100000002</v>
      </c>
      <c r="K17" s="170">
        <f>+'2022 йил'!Q17</f>
        <v>1485.6105434999999</v>
      </c>
      <c r="L17" s="65">
        <f>+'2023 йил'!O17</f>
        <v>1914.5230417500002</v>
      </c>
      <c r="N17" s="48"/>
      <c r="O17" s="120">
        <f>+Даромадлари!C17-Харажатлар!C17-'Свод (2020-2023)'!I17</f>
        <v>0</v>
      </c>
      <c r="P17" s="120">
        <f>+Даромадлари!G17-Харажатлар!H17-'Свод (2020-2023)'!P17</f>
        <v>0</v>
      </c>
      <c r="Q17" s="48"/>
      <c r="S17" s="97"/>
      <c r="T17" s="53"/>
      <c r="W17" s="48"/>
      <c r="X17" s="48"/>
      <c r="Y17" s="48"/>
      <c r="Z17" s="48"/>
    </row>
    <row r="18" spans="1:26" s="54" customFormat="1" ht="47.25" customHeight="1" x14ac:dyDescent="0.25">
      <c r="A18" s="175">
        <v>11</v>
      </c>
      <c r="B18" s="55" t="s">
        <v>15</v>
      </c>
      <c r="C18" s="66">
        <f t="shared" si="1"/>
        <v>4645.463616</v>
      </c>
      <c r="D18" s="64">
        <f>+'2020 йил'!I18</f>
        <v>100.2</v>
      </c>
      <c r="E18" s="67">
        <f>+'2021 йил'!I18</f>
        <v>902.66801699999996</v>
      </c>
      <c r="F18" s="171">
        <f>+'2022 йил'!I18</f>
        <v>1866.0048730000001</v>
      </c>
      <c r="G18" s="68">
        <f>+'2023 йил'!H18</f>
        <v>1776.5907259999999</v>
      </c>
      <c r="H18" s="66">
        <f t="shared" si="2"/>
        <v>2876.3416923600003</v>
      </c>
      <c r="I18" s="64">
        <f>+'2020 йил'!T18</f>
        <v>136.6</v>
      </c>
      <c r="J18" s="64">
        <f>+'2021 йил'!T18</f>
        <v>499.57080000000002</v>
      </c>
      <c r="K18" s="170">
        <f>+'2022 йил'!Q18</f>
        <v>999.89679236000006</v>
      </c>
      <c r="L18" s="65">
        <f>+'2023 йил'!O18</f>
        <v>1240.2741000000001</v>
      </c>
      <c r="N18" s="48"/>
      <c r="O18" s="120">
        <f>+Даромадлари!C18-Харажатлар!C18-'Свод (2020-2023)'!I18</f>
        <v>0</v>
      </c>
      <c r="P18" s="120">
        <f>+Даромадлари!G18-Харажатлар!H18-'Свод (2020-2023)'!P18</f>
        <v>0</v>
      </c>
      <c r="Q18" s="48"/>
      <c r="T18" s="53"/>
      <c r="W18" s="48"/>
      <c r="X18" s="48"/>
      <c r="Y18" s="48"/>
      <c r="Z18" s="48"/>
    </row>
    <row r="19" spans="1:26" s="54" customFormat="1" ht="47.25" customHeight="1" x14ac:dyDescent="0.25">
      <c r="A19" s="50">
        <v>12</v>
      </c>
      <c r="B19" s="55" t="s">
        <v>16</v>
      </c>
      <c r="C19" s="66">
        <f t="shared" si="1"/>
        <v>4856.0389212</v>
      </c>
      <c r="D19" s="64">
        <f>+'2020 йил'!I19</f>
        <v>4.4000000000000004</v>
      </c>
      <c r="E19" s="67">
        <f>+'2021 йил'!I19</f>
        <v>919.80249299999991</v>
      </c>
      <c r="F19" s="171">
        <f>+'2022 йил'!I19</f>
        <v>1772.3520002</v>
      </c>
      <c r="G19" s="68">
        <f>+'2023 йил'!H19</f>
        <v>2159.4844280000002</v>
      </c>
      <c r="H19" s="66">
        <f t="shared" si="2"/>
        <v>3833.1555685999992</v>
      </c>
      <c r="I19" s="64">
        <f>+'2020 йил'!T19</f>
        <v>26.6</v>
      </c>
      <c r="J19" s="64">
        <f>+'2021 йил'!T19</f>
        <v>483.06453599999998</v>
      </c>
      <c r="K19" s="170">
        <f>+'2022 йил'!Q19</f>
        <v>1689.6256325999998</v>
      </c>
      <c r="L19" s="65">
        <f>+'2023 йил'!O19</f>
        <v>1633.8653999999999</v>
      </c>
      <c r="N19" s="48"/>
      <c r="O19" s="120">
        <f>+Даромадлари!C19-Харажатлар!C19-'Свод (2020-2023)'!I19</f>
        <v>0</v>
      </c>
      <c r="P19" s="120">
        <f>+Даромадлари!G19-Харажатлар!H19-'Свод (2020-2023)'!P19</f>
        <v>0</v>
      </c>
      <c r="Q19" s="48"/>
      <c r="T19" s="53"/>
      <c r="W19" s="48"/>
      <c r="X19" s="48"/>
      <c r="Y19" s="48"/>
      <c r="Z19" s="48"/>
    </row>
    <row r="20" spans="1:26" s="54" customFormat="1" ht="47.25" customHeight="1" x14ac:dyDescent="0.25">
      <c r="A20" s="175">
        <v>13</v>
      </c>
      <c r="B20" s="55" t="s">
        <v>17</v>
      </c>
      <c r="C20" s="66">
        <f t="shared" si="1"/>
        <v>4721.1463653999999</v>
      </c>
      <c r="D20" s="64">
        <f>+'2020 йил'!I20</f>
        <v>100</v>
      </c>
      <c r="E20" s="67">
        <f>+'2021 йил'!I20</f>
        <v>1008.394643</v>
      </c>
      <c r="F20" s="171">
        <f>+'2022 йил'!I20</f>
        <v>1694.7824874999999</v>
      </c>
      <c r="G20" s="68">
        <f>+'2023 йил'!H20</f>
        <v>1917.9692349000002</v>
      </c>
      <c r="H20" s="66">
        <f t="shared" si="2"/>
        <v>4358.652693</v>
      </c>
      <c r="I20" s="64">
        <f>+'2020 йил'!T20</f>
        <v>100</v>
      </c>
      <c r="J20" s="64">
        <f>+'2021 йил'!T20</f>
        <v>933.69385699999998</v>
      </c>
      <c r="K20" s="170">
        <f>+'2022 йил'!Q20</f>
        <v>1422.1849769999999</v>
      </c>
      <c r="L20" s="65">
        <f>+'2023 йил'!O20</f>
        <v>1902.7738589999999</v>
      </c>
      <c r="N20" s="48"/>
      <c r="O20" s="120">
        <f>+Даромадлари!C20-Харажатлар!C20-'Свод (2020-2023)'!I20</f>
        <v>0</v>
      </c>
      <c r="P20" s="120">
        <f>+Даромадлари!G20-Харажатлар!H20-'Свод (2020-2023)'!P20</f>
        <v>0</v>
      </c>
      <c r="Q20" s="48"/>
      <c r="T20" s="53"/>
      <c r="W20" s="48"/>
      <c r="X20" s="48"/>
      <c r="Y20" s="48"/>
      <c r="Z20" s="48"/>
    </row>
    <row r="21" spans="1:26" s="54" customFormat="1" ht="47.25" customHeight="1" thickBot="1" x14ac:dyDescent="0.3">
      <c r="A21" s="50">
        <v>14</v>
      </c>
      <c r="B21" s="56" t="s">
        <v>18</v>
      </c>
      <c r="C21" s="69">
        <f t="shared" si="1"/>
        <v>4344.87546415</v>
      </c>
      <c r="D21" s="105">
        <f>+'2020 йил'!I21</f>
        <v>88.3</v>
      </c>
      <c r="E21" s="70">
        <f>+'2021 йил'!I21</f>
        <v>1232.8009520000001</v>
      </c>
      <c r="F21" s="172">
        <f>+'2022 йил'!I21</f>
        <v>1303.4294300500001</v>
      </c>
      <c r="G21" s="71">
        <f>+'2023 йил'!H21</f>
        <v>1720.3450820999997</v>
      </c>
      <c r="H21" s="69">
        <f t="shared" si="2"/>
        <v>3707.454909</v>
      </c>
      <c r="I21" s="105">
        <f>+'2020 йил'!T21</f>
        <v>111.4</v>
      </c>
      <c r="J21" s="105">
        <f>+'2021 йил'!T21</f>
        <v>439.87153599999994</v>
      </c>
      <c r="K21" s="173">
        <f>+'2022 йил'!Q21</f>
        <v>1458.2193730000001</v>
      </c>
      <c r="L21" s="65">
        <f>+'2023 йил'!O21</f>
        <v>1697.9639999999999</v>
      </c>
      <c r="N21" s="48"/>
      <c r="O21" s="120">
        <f>+Даромадлари!C21-Харажатлар!C21-'Свод (2020-2023)'!I21</f>
        <v>0</v>
      </c>
      <c r="P21" s="120">
        <f>+Даромадлари!G21-Харажатлар!H21-'Свод (2020-2023)'!P21</f>
        <v>0</v>
      </c>
      <c r="Q21" s="48"/>
      <c r="T21" s="53"/>
      <c r="W21" s="48"/>
      <c r="X21" s="48"/>
      <c r="Y21" s="48"/>
      <c r="Z21" s="48"/>
    </row>
    <row r="24" spans="1:26" x14ac:dyDescent="0.25">
      <c r="H24" s="102"/>
      <c r="I24" s="102"/>
      <c r="J24" s="102"/>
      <c r="K24" s="102"/>
      <c r="L24" s="102"/>
    </row>
    <row r="26" spans="1:26" x14ac:dyDescent="0.25">
      <c r="H26" s="102"/>
    </row>
    <row r="44" spans="8:12" x14ac:dyDescent="0.25">
      <c r="H44" s="102"/>
      <c r="I44" s="102"/>
      <c r="J44" s="102"/>
      <c r="K44" s="102"/>
      <c r="L44" s="102"/>
    </row>
    <row r="45" spans="8:12" x14ac:dyDescent="0.25">
      <c r="H45" s="102"/>
      <c r="I45" s="102"/>
      <c r="J45" s="102"/>
      <c r="K45" s="102"/>
      <c r="L45" s="102"/>
    </row>
    <row r="46" spans="8:12" x14ac:dyDescent="0.25">
      <c r="H46" s="102"/>
      <c r="I46" s="102"/>
      <c r="J46" s="102"/>
      <c r="K46" s="102"/>
      <c r="L46" s="102"/>
    </row>
    <row r="47" spans="8:12" x14ac:dyDescent="0.25">
      <c r="H47" s="102"/>
      <c r="I47" s="102"/>
      <c r="J47" s="102"/>
      <c r="K47" s="102"/>
      <c r="L47" s="102"/>
    </row>
    <row r="48" spans="8:12" x14ac:dyDescent="0.25">
      <c r="H48" s="102"/>
      <c r="I48" s="102"/>
      <c r="J48" s="102"/>
      <c r="K48" s="102"/>
      <c r="L48" s="102"/>
    </row>
    <row r="49" spans="8:12" x14ac:dyDescent="0.25">
      <c r="H49" s="102"/>
      <c r="I49" s="102"/>
      <c r="J49" s="102"/>
      <c r="K49" s="102"/>
      <c r="L49" s="102"/>
    </row>
    <row r="50" spans="8:12" x14ac:dyDescent="0.25">
      <c r="H50" s="102"/>
      <c r="I50" s="102"/>
      <c r="J50" s="102"/>
      <c r="K50" s="102"/>
      <c r="L50" s="102"/>
    </row>
    <row r="51" spans="8:12" x14ac:dyDescent="0.25">
      <c r="H51" s="102"/>
      <c r="I51" s="102"/>
      <c r="J51" s="102"/>
      <c r="K51" s="102"/>
      <c r="L51" s="102"/>
    </row>
    <row r="52" spans="8:12" x14ac:dyDescent="0.25">
      <c r="H52" s="102"/>
      <c r="I52" s="102"/>
      <c r="J52" s="102"/>
      <c r="K52" s="102"/>
      <c r="L52" s="102"/>
    </row>
    <row r="53" spans="8:12" x14ac:dyDescent="0.25">
      <c r="H53" s="102"/>
      <c r="I53" s="102"/>
      <c r="J53" s="102"/>
      <c r="K53" s="102"/>
      <c r="L53" s="102"/>
    </row>
    <row r="54" spans="8:12" x14ac:dyDescent="0.25">
      <c r="H54" s="102"/>
      <c r="I54" s="102"/>
      <c r="J54" s="102"/>
      <c r="K54" s="102"/>
      <c r="L54" s="102"/>
    </row>
    <row r="55" spans="8:12" x14ac:dyDescent="0.25">
      <c r="H55" s="102"/>
      <c r="I55" s="102"/>
      <c r="J55" s="102"/>
      <c r="K55" s="102"/>
      <c r="L55" s="102"/>
    </row>
    <row r="56" spans="8:12" x14ac:dyDescent="0.25">
      <c r="H56" s="102"/>
      <c r="I56" s="102"/>
      <c r="J56" s="102"/>
      <c r="K56" s="102"/>
      <c r="L56" s="102"/>
    </row>
    <row r="57" spans="8:12" x14ac:dyDescent="0.25">
      <c r="H57" s="102"/>
      <c r="I57" s="102"/>
      <c r="J57" s="102"/>
      <c r="K57" s="102"/>
      <c r="L57" s="102"/>
    </row>
    <row r="58" spans="8:12" x14ac:dyDescent="0.25">
      <c r="H58" s="102"/>
      <c r="I58" s="102"/>
      <c r="J58" s="102"/>
      <c r="K58" s="102"/>
      <c r="L58" s="102"/>
    </row>
    <row r="59" spans="8:12" x14ac:dyDescent="0.25">
      <c r="H59" s="102"/>
      <c r="I59" s="102"/>
      <c r="J59" s="102"/>
      <c r="K59" s="102"/>
      <c r="L59" s="102"/>
    </row>
    <row r="60" spans="8:12" x14ac:dyDescent="0.25">
      <c r="H60" s="102"/>
    </row>
    <row r="61" spans="8:12" x14ac:dyDescent="0.25">
      <c r="H61" s="102"/>
    </row>
    <row r="62" spans="8:12" x14ac:dyDescent="0.25">
      <c r="H62" s="102"/>
    </row>
  </sheetData>
  <mergeCells count="12">
    <mergeCell ref="A7:B7"/>
    <mergeCell ref="B1:L1"/>
    <mergeCell ref="B2:L2"/>
    <mergeCell ref="A4:A6"/>
    <mergeCell ref="B4:B6"/>
    <mergeCell ref="C4:G4"/>
    <mergeCell ref="H4:L4"/>
    <mergeCell ref="C5:C6"/>
    <mergeCell ref="D5:G5"/>
    <mergeCell ref="H5:H6"/>
    <mergeCell ref="I5:L5"/>
    <mergeCell ref="A3:B3"/>
  </mergeCells>
  <printOptions horizontalCentered="1" verticalCentered="1"/>
  <pageMargins left="0.19685039370078741" right="0.19685039370078741" top="0.19685039370078741" bottom="0.19685039370078741" header="0.19685039370078741" footer="0.19685039370078741"/>
  <pageSetup paperSize="9" scale="6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4"/>
  <sheetViews>
    <sheetView view="pageBreakPreview" zoomScale="55" zoomScaleNormal="70" zoomScaleSheetLayoutView="55" workbookViewId="0">
      <selection activeCell="U13" sqref="U13"/>
    </sheetView>
  </sheetViews>
  <sheetFormatPr defaultRowHeight="15" x14ac:dyDescent="0.25"/>
  <cols>
    <col min="1" max="1" width="6.140625" style="45" customWidth="1"/>
    <col min="2" max="2" width="33" style="45" customWidth="1"/>
    <col min="3" max="3" width="17.42578125" style="45" customWidth="1"/>
    <col min="4" max="10" width="15" style="45" customWidth="1"/>
    <col min="11" max="11" width="17.42578125" style="45" customWidth="1"/>
    <col min="12" max="14" width="15" style="45" customWidth="1"/>
    <col min="15" max="15" width="17.42578125" style="45" customWidth="1"/>
    <col min="16" max="18" width="15" style="45" customWidth="1"/>
    <col min="19" max="19" width="22.7109375" style="45" customWidth="1"/>
    <col min="20" max="22" width="15" style="45" customWidth="1"/>
    <col min="23" max="23" width="9.140625" style="45"/>
    <col min="24" max="24" width="68.42578125" style="45" hidden="1" customWidth="1"/>
    <col min="25" max="25" width="45.5703125" style="45" hidden="1" customWidth="1"/>
    <col min="26" max="26" width="40.85546875" style="45" hidden="1" customWidth="1"/>
    <col min="27" max="27" width="29.5703125" style="45" hidden="1" customWidth="1"/>
    <col min="28" max="16384" width="9.140625" style="45"/>
  </cols>
  <sheetData>
    <row r="1" spans="1:34" ht="61.5" customHeight="1" x14ac:dyDescent="0.25">
      <c r="A1" s="781" t="s">
        <v>97</v>
      </c>
      <c r="B1" s="781"/>
      <c r="C1" s="781"/>
      <c r="D1" s="781"/>
      <c r="E1" s="781"/>
      <c r="F1" s="781"/>
      <c r="G1" s="781"/>
      <c r="H1" s="781"/>
      <c r="I1" s="781"/>
      <c r="J1" s="781"/>
      <c r="K1" s="781"/>
      <c r="L1" s="781"/>
      <c r="M1" s="781"/>
      <c r="N1" s="781"/>
      <c r="O1" s="781"/>
      <c r="P1" s="781"/>
      <c r="Q1" s="781"/>
      <c r="R1" s="781"/>
      <c r="S1" s="781"/>
      <c r="T1" s="781"/>
      <c r="U1" s="781"/>
      <c r="V1" s="781"/>
    </row>
    <row r="2" spans="1:34" ht="22.5" x14ac:dyDescent="0.25">
      <c r="A2" s="44"/>
      <c r="B2" s="781" t="s">
        <v>19</v>
      </c>
      <c r="C2" s="781"/>
      <c r="D2" s="781"/>
      <c r="E2" s="781"/>
      <c r="F2" s="781"/>
      <c r="G2" s="781"/>
      <c r="H2" s="781"/>
      <c r="I2" s="781"/>
      <c r="J2" s="781"/>
      <c r="K2" s="781"/>
      <c r="L2" s="781"/>
      <c r="M2" s="781"/>
      <c r="N2" s="781"/>
      <c r="O2" s="781"/>
      <c r="P2" s="781"/>
      <c r="Q2" s="781"/>
      <c r="R2" s="781"/>
      <c r="S2" s="781"/>
      <c r="T2" s="781"/>
      <c r="U2" s="781"/>
      <c r="V2" s="781"/>
    </row>
    <row r="3" spans="1:34" ht="39.75" thickBot="1" x14ac:dyDescent="0.3">
      <c r="A3" s="618" t="str">
        <f>+'2022 йил'!A3:B3</f>
        <v>01.01.2023 йил ҳолатига</v>
      </c>
      <c r="B3" s="618"/>
      <c r="C3" s="103"/>
      <c r="D3" s="103"/>
      <c r="E3" s="103"/>
      <c r="F3" s="103"/>
      <c r="G3" s="103"/>
      <c r="H3" s="103"/>
      <c r="I3" s="103"/>
      <c r="J3" s="103"/>
      <c r="K3" s="103"/>
      <c r="L3" s="103"/>
      <c r="M3" s="103"/>
      <c r="V3" s="107" t="s">
        <v>77</v>
      </c>
    </row>
    <row r="4" spans="1:34" s="46" customFormat="1" ht="27" customHeight="1" x14ac:dyDescent="0.25">
      <c r="A4" s="782" t="s">
        <v>0</v>
      </c>
      <c r="B4" s="785" t="s">
        <v>4</v>
      </c>
      <c r="C4" s="796" t="s">
        <v>179</v>
      </c>
      <c r="D4" s="797"/>
      <c r="E4" s="797"/>
      <c r="F4" s="798"/>
      <c r="G4" s="796" t="s">
        <v>98</v>
      </c>
      <c r="H4" s="797"/>
      <c r="I4" s="797"/>
      <c r="J4" s="798"/>
      <c r="K4" s="796" t="s">
        <v>99</v>
      </c>
      <c r="L4" s="797"/>
      <c r="M4" s="797"/>
      <c r="N4" s="798"/>
      <c r="O4" s="796" t="s">
        <v>117</v>
      </c>
      <c r="P4" s="797"/>
      <c r="Q4" s="797"/>
      <c r="R4" s="798"/>
      <c r="S4" s="796" t="s">
        <v>132</v>
      </c>
      <c r="T4" s="797"/>
      <c r="U4" s="797"/>
      <c r="V4" s="798"/>
      <c r="X4" s="803" t="s">
        <v>107</v>
      </c>
      <c r="Y4" s="803"/>
      <c r="Z4" s="803"/>
    </row>
    <row r="5" spans="1:34" ht="23.25" customHeight="1" thickBot="1" x14ac:dyDescent="0.3">
      <c r="A5" s="783"/>
      <c r="B5" s="786"/>
      <c r="C5" s="799" t="s">
        <v>75</v>
      </c>
      <c r="D5" s="801" t="s">
        <v>5</v>
      </c>
      <c r="E5" s="801"/>
      <c r="F5" s="802"/>
      <c r="G5" s="799" t="s">
        <v>75</v>
      </c>
      <c r="H5" s="801" t="s">
        <v>5</v>
      </c>
      <c r="I5" s="801"/>
      <c r="J5" s="802"/>
      <c r="K5" s="799" t="s">
        <v>75</v>
      </c>
      <c r="L5" s="801" t="s">
        <v>5</v>
      </c>
      <c r="M5" s="801"/>
      <c r="N5" s="802"/>
      <c r="O5" s="799" t="s">
        <v>75</v>
      </c>
      <c r="P5" s="801" t="s">
        <v>5</v>
      </c>
      <c r="Q5" s="801"/>
      <c r="R5" s="802"/>
      <c r="S5" s="799" t="s">
        <v>75</v>
      </c>
      <c r="T5" s="801" t="s">
        <v>5</v>
      </c>
      <c r="U5" s="801"/>
      <c r="V5" s="802"/>
      <c r="X5" s="804"/>
      <c r="Y5" s="804"/>
      <c r="Z5" s="804"/>
    </row>
    <row r="6" spans="1:34" ht="206.25" customHeight="1" thickBot="1" x14ac:dyDescent="0.3">
      <c r="A6" s="784"/>
      <c r="B6" s="787"/>
      <c r="C6" s="800"/>
      <c r="D6" s="128" t="s">
        <v>109</v>
      </c>
      <c r="E6" s="128" t="s">
        <v>110</v>
      </c>
      <c r="F6" s="128" t="s">
        <v>111</v>
      </c>
      <c r="G6" s="800"/>
      <c r="H6" s="128" t="s">
        <v>94</v>
      </c>
      <c r="I6" s="128" t="s">
        <v>95</v>
      </c>
      <c r="J6" s="129" t="s">
        <v>96</v>
      </c>
      <c r="K6" s="800"/>
      <c r="L6" s="128" t="s">
        <v>94</v>
      </c>
      <c r="M6" s="128" t="s">
        <v>95</v>
      </c>
      <c r="N6" s="129" t="s">
        <v>96</v>
      </c>
      <c r="O6" s="800"/>
      <c r="P6" s="128" t="s">
        <v>94</v>
      </c>
      <c r="Q6" s="128" t="s">
        <v>95</v>
      </c>
      <c r="R6" s="129" t="s">
        <v>96</v>
      </c>
      <c r="S6" s="800"/>
      <c r="T6" s="128" t="s">
        <v>94</v>
      </c>
      <c r="U6" s="128" t="s">
        <v>95</v>
      </c>
      <c r="V6" s="129" t="s">
        <v>96</v>
      </c>
      <c r="X6" s="115" t="s">
        <v>102</v>
      </c>
      <c r="Y6" s="115" t="s">
        <v>100</v>
      </c>
      <c r="Z6" s="116" t="s">
        <v>101</v>
      </c>
    </row>
    <row r="7" spans="1:34" ht="41.25" customHeight="1" thickBot="1" x14ac:dyDescent="0.3">
      <c r="A7" s="761" t="s">
        <v>3</v>
      </c>
      <c r="B7" s="762"/>
      <c r="C7" s="60">
        <f>SUM(C8:C21)</f>
        <v>21887.795854149997</v>
      </c>
      <c r="D7" s="61">
        <f t="shared" ref="D7:V7" si="0">SUM(D8:D21)</f>
        <v>7310.6202893299997</v>
      </c>
      <c r="E7" s="61">
        <f t="shared" si="0"/>
        <v>7266.5552754899991</v>
      </c>
      <c r="F7" s="62">
        <f t="shared" si="0"/>
        <v>7310.6202893299997</v>
      </c>
      <c r="G7" s="60">
        <f t="shared" si="0"/>
        <v>2113.0459835199999</v>
      </c>
      <c r="H7" s="61">
        <f t="shared" si="0"/>
        <v>409.41605453999989</v>
      </c>
      <c r="I7" s="61">
        <f t="shared" si="0"/>
        <v>849.10741198999983</v>
      </c>
      <c r="J7" s="62">
        <f t="shared" si="0"/>
        <v>854.52251698999999</v>
      </c>
      <c r="K7" s="60">
        <f t="shared" si="0"/>
        <v>19774.749870630003</v>
      </c>
      <c r="L7" s="61">
        <f t="shared" si="0"/>
        <v>6901.2042347899996</v>
      </c>
      <c r="M7" s="61">
        <f t="shared" si="0"/>
        <v>6417.4478634999996</v>
      </c>
      <c r="N7" s="62">
        <f t="shared" si="0"/>
        <v>6456.097772340001</v>
      </c>
      <c r="O7" s="60">
        <f t="shared" si="0"/>
        <v>26708.229602080006</v>
      </c>
      <c r="P7" s="61">
        <f t="shared" si="0"/>
        <v>8920.7653509299998</v>
      </c>
      <c r="Q7" s="61">
        <f t="shared" si="0"/>
        <v>8866.6989002200007</v>
      </c>
      <c r="R7" s="62">
        <f t="shared" si="0"/>
        <v>8920.7653509299998</v>
      </c>
      <c r="S7" s="60">
        <f t="shared" si="0"/>
        <v>38767.655818099993</v>
      </c>
      <c r="T7" s="61">
        <f t="shared" si="0"/>
        <v>12950.993273220001</v>
      </c>
      <c r="U7" s="61">
        <f t="shared" si="0"/>
        <v>12865.669271659999</v>
      </c>
      <c r="V7" s="62">
        <f t="shared" si="0"/>
        <v>12950.993273220001</v>
      </c>
      <c r="W7" s="48"/>
      <c r="X7" s="108">
        <f>SUM(X9:X21)</f>
        <v>854.52251698999999</v>
      </c>
      <c r="Y7" s="111">
        <f>SUM(Y9:Y21)</f>
        <v>409.41605453999989</v>
      </c>
      <c r="Z7" s="111">
        <f>SUM(Z9:Z21)</f>
        <v>445.10646245000004</v>
      </c>
      <c r="AB7" s="114"/>
      <c r="AE7" s="48"/>
      <c r="AF7" s="48"/>
      <c r="AG7" s="48"/>
      <c r="AH7" s="48"/>
    </row>
    <row r="8" spans="1:34" s="54" customFormat="1" ht="55.5" customHeight="1" x14ac:dyDescent="0.25">
      <c r="A8" s="50">
        <v>1</v>
      </c>
      <c r="B8" s="51" t="s">
        <v>180</v>
      </c>
      <c r="C8" s="63"/>
      <c r="D8" s="64"/>
      <c r="E8" s="64"/>
      <c r="F8" s="65"/>
      <c r="G8" s="63"/>
      <c r="H8" s="64"/>
      <c r="I8" s="64"/>
      <c r="J8" s="65"/>
      <c r="K8" s="63"/>
      <c r="L8" s="64"/>
      <c r="M8" s="64"/>
      <c r="N8" s="65"/>
      <c r="O8" s="165"/>
      <c r="P8" s="165"/>
      <c r="Q8" s="165"/>
      <c r="R8" s="165"/>
      <c r="S8" s="63"/>
      <c r="T8" s="64"/>
      <c r="U8" s="64"/>
      <c r="V8" s="65"/>
      <c r="W8" s="48"/>
      <c r="X8" s="109"/>
      <c r="Y8" s="112"/>
      <c r="Z8" s="112"/>
      <c r="AB8" s="114"/>
      <c r="AE8" s="48"/>
      <c r="AF8" s="48"/>
      <c r="AG8" s="48"/>
      <c r="AH8" s="48"/>
    </row>
    <row r="9" spans="1:34" s="54" customFormat="1" ht="55.5" customHeight="1" x14ac:dyDescent="0.25">
      <c r="A9" s="50">
        <v>2</v>
      </c>
      <c r="B9" s="51" t="s">
        <v>6</v>
      </c>
      <c r="C9" s="63">
        <f t="shared" ref="C9:C21" si="1">+D9+E9+F9</f>
        <v>5187.0680998999997</v>
      </c>
      <c r="D9" s="64">
        <f>+H9+L9</f>
        <v>1732.4776284300001</v>
      </c>
      <c r="E9" s="64">
        <f>+I9+M9</f>
        <v>1722.1128430400001</v>
      </c>
      <c r="F9" s="65">
        <f>+J9+N9</f>
        <v>1732.4776284300001</v>
      </c>
      <c r="G9" s="63">
        <f t="shared" ref="G9:G21" si="2">+H9+I9+J9</f>
        <v>557.65697124999986</v>
      </c>
      <c r="H9" s="64">
        <v>124.85250484999995</v>
      </c>
      <c r="I9" s="64">
        <f>+'2020 йил'!F9</f>
        <v>215.75237663999997</v>
      </c>
      <c r="J9" s="65">
        <f>+'2020 йил'!Q9</f>
        <v>217.05208975999994</v>
      </c>
      <c r="K9" s="63">
        <f t="shared" ref="K9:K21" si="3">+L9+M9+N9</f>
        <v>4629.411128650001</v>
      </c>
      <c r="L9" s="64">
        <f>+N9+Z9</f>
        <v>1607.62512358</v>
      </c>
      <c r="M9" s="64">
        <f>+'2021 йил'!F9</f>
        <v>1506.3604664000002</v>
      </c>
      <c r="N9" s="65">
        <f>+'2021 йил'!Q9</f>
        <v>1515.4255386700002</v>
      </c>
      <c r="O9" s="165">
        <f>+P9+Q9+R9</f>
        <v>6152.3388458200006</v>
      </c>
      <c r="P9" s="165">
        <f>+R9</f>
        <v>2054.88104591</v>
      </c>
      <c r="Q9" s="165">
        <f>+'2022 йил'!F9</f>
        <v>2042.5767539999999</v>
      </c>
      <c r="R9" s="165">
        <f>+'2022 йил'!N9</f>
        <v>2054.88104591</v>
      </c>
      <c r="S9" s="63">
        <f t="shared" ref="S9:S21" si="4">+T9+U9+V9</f>
        <v>8086.7424076200004</v>
      </c>
      <c r="T9" s="64">
        <f>+V9</f>
        <v>2700.9706265100003</v>
      </c>
      <c r="U9" s="64">
        <f>+'2023 йил'!F9</f>
        <v>2684.8011545999998</v>
      </c>
      <c r="V9" s="65">
        <f>+'2023 йил'!M9</f>
        <v>2700.9706265100003</v>
      </c>
      <c r="W9" s="48"/>
      <c r="X9" s="109">
        <v>217.05208975999994</v>
      </c>
      <c r="Y9" s="112">
        <v>124.85250484999995</v>
      </c>
      <c r="Z9" s="112">
        <v>92.199584909999999</v>
      </c>
      <c r="AB9" s="114"/>
      <c r="AE9" s="48"/>
      <c r="AF9" s="48"/>
      <c r="AG9" s="48"/>
      <c r="AH9" s="48"/>
    </row>
    <row r="10" spans="1:34" s="54" customFormat="1" ht="55.5" customHeight="1" x14ac:dyDescent="0.25">
      <c r="A10" s="104">
        <v>3</v>
      </c>
      <c r="B10" s="55" t="s">
        <v>7</v>
      </c>
      <c r="C10" s="66">
        <f t="shared" si="1"/>
        <v>1242.6351872499999</v>
      </c>
      <c r="D10" s="67">
        <f t="shared" ref="D10:D21" si="5">+H10+L10</f>
        <v>415.13975256999998</v>
      </c>
      <c r="E10" s="67">
        <f t="shared" ref="E10:E21" si="6">+I10+M10</f>
        <v>412.35568211000003</v>
      </c>
      <c r="F10" s="68">
        <f t="shared" ref="F10:F21" si="7">+J10+N10</f>
        <v>415.13975256999998</v>
      </c>
      <c r="G10" s="66">
        <f t="shared" si="2"/>
        <v>115.29473506999997</v>
      </c>
      <c r="H10" s="64">
        <v>24.02938551999998</v>
      </c>
      <c r="I10" s="67">
        <f>+'2020 йил'!F10</f>
        <v>45.346090160000017</v>
      </c>
      <c r="J10" s="68">
        <f>+'2020 йил'!Q10</f>
        <v>45.919259389999979</v>
      </c>
      <c r="K10" s="66">
        <f t="shared" si="3"/>
        <v>1127.3404521800001</v>
      </c>
      <c r="L10" s="64">
        <f t="shared" ref="L10:L21" si="8">+N10+Z10</f>
        <v>391.11036704999998</v>
      </c>
      <c r="M10" s="67">
        <f>+'2021 йил'!F10</f>
        <v>367.00959195000002</v>
      </c>
      <c r="N10" s="68">
        <f>+'2021 йил'!Q10</f>
        <v>369.22049318000001</v>
      </c>
      <c r="O10" s="166">
        <f t="shared" ref="O10:O21" si="9">+P10+Q10+R10</f>
        <v>1615.0087337300001</v>
      </c>
      <c r="P10" s="165">
        <f t="shared" ref="P10:P21" si="10">+R10</f>
        <v>539.41291701</v>
      </c>
      <c r="Q10" s="166">
        <f>+'2022 йил'!F10</f>
        <v>536.18289971000002</v>
      </c>
      <c r="R10" s="166">
        <f>+'2022 йил'!N10</f>
        <v>539.41291701</v>
      </c>
      <c r="S10" s="66">
        <f t="shared" si="4"/>
        <v>2150.0042069599999</v>
      </c>
      <c r="T10" s="64">
        <f t="shared" ref="T10:T21" si="11">+V10</f>
        <v>718.10140505999993</v>
      </c>
      <c r="U10" s="67">
        <f>+'2023 йил'!F10</f>
        <v>713.80139684000005</v>
      </c>
      <c r="V10" s="68">
        <f>+'2023 йил'!M10</f>
        <v>718.10140505999993</v>
      </c>
      <c r="W10" s="48"/>
      <c r="X10" s="109">
        <v>45.919259389999979</v>
      </c>
      <c r="Y10" s="112">
        <v>24.02938551999998</v>
      </c>
      <c r="Z10" s="112">
        <v>21.889873869999999</v>
      </c>
      <c r="AB10" s="114"/>
      <c r="AE10" s="48"/>
      <c r="AF10" s="48"/>
      <c r="AG10" s="48"/>
      <c r="AH10" s="48"/>
    </row>
    <row r="11" spans="1:34" s="54" customFormat="1" ht="55.5" customHeight="1" x14ac:dyDescent="0.25">
      <c r="A11" s="50">
        <v>4</v>
      </c>
      <c r="B11" s="55" t="s">
        <v>8</v>
      </c>
      <c r="C11" s="66">
        <f t="shared" si="1"/>
        <v>1381.7070947499999</v>
      </c>
      <c r="D11" s="67">
        <f t="shared" si="5"/>
        <v>461.49016961999996</v>
      </c>
      <c r="E11" s="67">
        <f t="shared" si="6"/>
        <v>458.72675550999998</v>
      </c>
      <c r="F11" s="68">
        <f t="shared" si="7"/>
        <v>461.49016961999996</v>
      </c>
      <c r="G11" s="66">
        <f t="shared" si="2"/>
        <v>112.73440452999995</v>
      </c>
      <c r="H11" s="64">
        <v>21.09058439999998</v>
      </c>
      <c r="I11" s="67">
        <f>+'2020 йил'!F11</f>
        <v>45.684306709999987</v>
      </c>
      <c r="J11" s="68">
        <f>+'2020 йил'!Q11</f>
        <v>45.959513419999979</v>
      </c>
      <c r="K11" s="66">
        <f t="shared" si="3"/>
        <v>1268.97269022</v>
      </c>
      <c r="L11" s="64">
        <f t="shared" si="8"/>
        <v>440.39958522000001</v>
      </c>
      <c r="M11" s="67">
        <f>+'2021 йил'!F11</f>
        <v>413.04244879999999</v>
      </c>
      <c r="N11" s="68">
        <f>+'2021 йил'!Q11</f>
        <v>415.53065620000001</v>
      </c>
      <c r="O11" s="166">
        <f t="shared" si="9"/>
        <v>1695.00636876</v>
      </c>
      <c r="P11" s="165">
        <f t="shared" si="10"/>
        <v>566.13212715999998</v>
      </c>
      <c r="Q11" s="166">
        <f>+'2022 йил'!F11</f>
        <v>562.74211444000002</v>
      </c>
      <c r="R11" s="166">
        <f>+'2022 йил'!N11</f>
        <v>566.13212715999998</v>
      </c>
      <c r="S11" s="66">
        <f t="shared" si="4"/>
        <v>2317.0104359000002</v>
      </c>
      <c r="T11" s="64">
        <f t="shared" si="11"/>
        <v>773.88148557000011</v>
      </c>
      <c r="U11" s="67">
        <f>+'2023 йил'!F11</f>
        <v>769.24746475999996</v>
      </c>
      <c r="V11" s="68">
        <f>+'2023 йил'!M11</f>
        <v>773.88148557000011</v>
      </c>
      <c r="W11" s="48"/>
      <c r="X11" s="109">
        <v>45.959513419999979</v>
      </c>
      <c r="Y11" s="112">
        <v>21.09058439999998</v>
      </c>
      <c r="Z11" s="112">
        <v>24.868929019999999</v>
      </c>
      <c r="AB11" s="114"/>
      <c r="AE11" s="48"/>
      <c r="AF11" s="48"/>
      <c r="AG11" s="48"/>
      <c r="AH11" s="48"/>
    </row>
    <row r="12" spans="1:34" s="54" customFormat="1" ht="55.5" customHeight="1" x14ac:dyDescent="0.25">
      <c r="A12" s="175">
        <v>5</v>
      </c>
      <c r="B12" s="55" t="s">
        <v>9</v>
      </c>
      <c r="C12" s="66">
        <f t="shared" si="1"/>
        <v>1369.9328298600001</v>
      </c>
      <c r="D12" s="106">
        <f t="shared" si="5"/>
        <v>457.55756516000002</v>
      </c>
      <c r="E12" s="67">
        <f t="shared" si="6"/>
        <v>454.81769953999998</v>
      </c>
      <c r="F12" s="68">
        <f t="shared" si="7"/>
        <v>457.55756516000002</v>
      </c>
      <c r="G12" s="66">
        <f t="shared" si="2"/>
        <v>132.37501701000008</v>
      </c>
      <c r="H12" s="64">
        <v>15.687872080000041</v>
      </c>
      <c r="I12" s="67">
        <f>+'2020 йил'!F12</f>
        <v>58.168366520000006</v>
      </c>
      <c r="J12" s="68">
        <f>+'2020 йил'!Q12</f>
        <v>58.518778410000039</v>
      </c>
      <c r="K12" s="66">
        <f t="shared" si="3"/>
        <v>1237.5578128500001</v>
      </c>
      <c r="L12" s="64">
        <f t="shared" si="8"/>
        <v>441.86969307999999</v>
      </c>
      <c r="M12" s="67">
        <f>+'2021 йил'!F12</f>
        <v>396.64933301999997</v>
      </c>
      <c r="N12" s="68">
        <f>+'2021 йил'!Q12</f>
        <v>399.03878674999999</v>
      </c>
      <c r="O12" s="166">
        <f t="shared" si="9"/>
        <v>1889.7324380200002</v>
      </c>
      <c r="P12" s="165">
        <f t="shared" si="10"/>
        <v>631.17063433999999</v>
      </c>
      <c r="Q12" s="166">
        <f>+'2022 йил'!F12</f>
        <v>627.39116934000003</v>
      </c>
      <c r="R12" s="166">
        <f>+'2022 йил'!N12</f>
        <v>631.17063433999999</v>
      </c>
      <c r="S12" s="66">
        <f t="shared" si="4"/>
        <v>2740.1240696899995</v>
      </c>
      <c r="T12" s="64">
        <f t="shared" si="11"/>
        <v>915.20143927999993</v>
      </c>
      <c r="U12" s="67">
        <f>+'2023 йил'!F12</f>
        <v>909.72119112999997</v>
      </c>
      <c r="V12" s="68">
        <f>+'2023 йил'!M12</f>
        <v>915.20143927999993</v>
      </c>
      <c r="W12" s="48"/>
      <c r="X12" s="109">
        <v>58.518778410000039</v>
      </c>
      <c r="Y12" s="112">
        <v>15.687872080000041</v>
      </c>
      <c r="Z12" s="112">
        <v>42.830906329999998</v>
      </c>
      <c r="AB12" s="114"/>
      <c r="AE12" s="48"/>
      <c r="AF12" s="48"/>
      <c r="AG12" s="48"/>
      <c r="AH12" s="48"/>
    </row>
    <row r="13" spans="1:34" s="54" customFormat="1" ht="55.5" customHeight="1" x14ac:dyDescent="0.25">
      <c r="A13" s="50">
        <v>6</v>
      </c>
      <c r="B13" s="55" t="s">
        <v>10</v>
      </c>
      <c r="C13" s="66">
        <f t="shared" si="1"/>
        <v>3233.6563547400001</v>
      </c>
      <c r="D13" s="67">
        <f t="shared" si="5"/>
        <v>1080.04122252</v>
      </c>
      <c r="E13" s="67">
        <f t="shared" si="6"/>
        <v>1073.5739097000001</v>
      </c>
      <c r="F13" s="68">
        <f t="shared" si="7"/>
        <v>1080.04122252</v>
      </c>
      <c r="G13" s="66">
        <f t="shared" si="2"/>
        <v>292.87340718999997</v>
      </c>
      <c r="H13" s="64">
        <v>49.931503939999999</v>
      </c>
      <c r="I13" s="67">
        <f>+'2020 йил'!F13</f>
        <v>121.10617397999999</v>
      </c>
      <c r="J13" s="68">
        <f>+'2020 йил'!Q13</f>
        <v>121.83572927</v>
      </c>
      <c r="K13" s="66">
        <f t="shared" si="3"/>
        <v>2940.7829475500002</v>
      </c>
      <c r="L13" s="64">
        <f t="shared" si="8"/>
        <v>1030.1097185799999</v>
      </c>
      <c r="M13" s="67">
        <f>+'2021 йил'!F13</f>
        <v>952.46773572000006</v>
      </c>
      <c r="N13" s="68">
        <f>+'2021 йил'!Q13</f>
        <v>958.20549325000002</v>
      </c>
      <c r="O13" s="166">
        <f t="shared" si="9"/>
        <v>3142.1686696000002</v>
      </c>
      <c r="P13" s="165">
        <f t="shared" si="10"/>
        <v>1049.57221299</v>
      </c>
      <c r="Q13" s="166">
        <f>+'2022 йил'!F13</f>
        <v>1043.0242436200001</v>
      </c>
      <c r="R13" s="166">
        <f>+'2022 йил'!N13</f>
        <v>1049.57221299</v>
      </c>
      <c r="S13" s="66">
        <f t="shared" si="4"/>
        <v>4638.9099315200001</v>
      </c>
      <c r="T13" s="64">
        <f t="shared" si="11"/>
        <v>1549.3959170599999</v>
      </c>
      <c r="U13" s="67">
        <f>+'2023 йил'!F13</f>
        <v>1540.1180974000001</v>
      </c>
      <c r="V13" s="68">
        <f>+'2023 йил'!M13</f>
        <v>1549.3959170599999</v>
      </c>
      <c r="W13" s="48"/>
      <c r="X13" s="109">
        <v>121.83572927</v>
      </c>
      <c r="Y13" s="112">
        <v>49.931503939999999</v>
      </c>
      <c r="Z13" s="112">
        <v>71.904225330000003</v>
      </c>
      <c r="AB13" s="114"/>
      <c r="AE13" s="48"/>
      <c r="AF13" s="48"/>
      <c r="AG13" s="48"/>
      <c r="AH13" s="48"/>
    </row>
    <row r="14" spans="1:34" s="54" customFormat="1" ht="55.5" customHeight="1" x14ac:dyDescent="0.25">
      <c r="A14" s="175">
        <v>7</v>
      </c>
      <c r="B14" s="55" t="s">
        <v>11</v>
      </c>
      <c r="C14" s="66">
        <f t="shared" si="1"/>
        <v>1632.1495512399997</v>
      </c>
      <c r="D14" s="67">
        <f t="shared" si="5"/>
        <v>545.13794998999992</v>
      </c>
      <c r="E14" s="67">
        <f t="shared" si="6"/>
        <v>541.87365125999997</v>
      </c>
      <c r="F14" s="68">
        <f t="shared" si="7"/>
        <v>545.13794998999992</v>
      </c>
      <c r="G14" s="66">
        <f t="shared" si="2"/>
        <v>171.8070014799998</v>
      </c>
      <c r="H14" s="64">
        <v>34.764761749999899</v>
      </c>
      <c r="I14" s="67">
        <f>+'2020 йил'!F14</f>
        <v>68.315350749999993</v>
      </c>
      <c r="J14" s="68">
        <f>+'2020 йил'!Q14</f>
        <v>68.726888979999899</v>
      </c>
      <c r="K14" s="66">
        <f t="shared" si="3"/>
        <v>1460.3425497599999</v>
      </c>
      <c r="L14" s="64">
        <f t="shared" si="8"/>
        <v>510.37318823999999</v>
      </c>
      <c r="M14" s="67">
        <f>+'2021 йил'!F14</f>
        <v>473.55830050999998</v>
      </c>
      <c r="N14" s="68">
        <f>+'2021 йил'!Q14</f>
        <v>476.41106100999997</v>
      </c>
      <c r="O14" s="166">
        <f t="shared" si="9"/>
        <v>2025.62872311</v>
      </c>
      <c r="P14" s="165">
        <f t="shared" si="10"/>
        <v>676.55998422000005</v>
      </c>
      <c r="Q14" s="166">
        <f>+'2022 йил'!F14</f>
        <v>672.50875466999992</v>
      </c>
      <c r="R14" s="166">
        <f>+'2022 йил'!N14</f>
        <v>676.55998422000005</v>
      </c>
      <c r="S14" s="66">
        <f t="shared" si="4"/>
        <v>3454.4312311799999</v>
      </c>
      <c r="T14" s="64">
        <f t="shared" si="11"/>
        <v>1153.7800311999999</v>
      </c>
      <c r="U14" s="67">
        <f>+'2023 йил'!F14</f>
        <v>1146.8711687800001</v>
      </c>
      <c r="V14" s="68">
        <f>+'2023 йил'!M14</f>
        <v>1153.7800311999999</v>
      </c>
      <c r="W14" s="48"/>
      <c r="X14" s="109">
        <v>68.726888979999899</v>
      </c>
      <c r="Y14" s="112">
        <v>34.764761749999899</v>
      </c>
      <c r="Z14" s="112">
        <v>33.96212723</v>
      </c>
      <c r="AB14" s="114"/>
      <c r="AE14" s="48"/>
      <c r="AF14" s="48"/>
      <c r="AG14" s="48"/>
      <c r="AH14" s="48"/>
    </row>
    <row r="15" spans="1:34" s="54" customFormat="1" ht="55.5" customHeight="1" x14ac:dyDescent="0.25">
      <c r="A15" s="50">
        <v>8</v>
      </c>
      <c r="B15" s="55" t="s">
        <v>12</v>
      </c>
      <c r="C15" s="66">
        <f t="shared" si="1"/>
        <v>1636.5998546199999</v>
      </c>
      <c r="D15" s="67">
        <f t="shared" si="5"/>
        <v>546.62435140999992</v>
      </c>
      <c r="E15" s="67">
        <f t="shared" si="6"/>
        <v>543.35115180000003</v>
      </c>
      <c r="F15" s="68">
        <f t="shared" si="7"/>
        <v>546.62435140999992</v>
      </c>
      <c r="G15" s="66">
        <f t="shared" si="2"/>
        <v>207.89992402999997</v>
      </c>
      <c r="H15" s="64">
        <v>42.426168159999968</v>
      </c>
      <c r="I15" s="67">
        <f>+'2020 йил'!F15</f>
        <v>82.488418860000024</v>
      </c>
      <c r="J15" s="68">
        <f>+'2020 йил'!Q15</f>
        <v>82.985337009999967</v>
      </c>
      <c r="K15" s="66">
        <f t="shared" si="3"/>
        <v>1428.6999305899999</v>
      </c>
      <c r="L15" s="64">
        <f t="shared" si="8"/>
        <v>504.19818324999994</v>
      </c>
      <c r="M15" s="67">
        <f>+'2021 йил'!F15</f>
        <v>460.86273294</v>
      </c>
      <c r="N15" s="68">
        <f>+'2021 йил'!Q15</f>
        <v>463.63901439999995</v>
      </c>
      <c r="O15" s="166">
        <f t="shared" si="9"/>
        <v>2204.72374085</v>
      </c>
      <c r="P15" s="165">
        <f t="shared" si="10"/>
        <v>736.37769183</v>
      </c>
      <c r="Q15" s="166">
        <f>+'2022 йил'!F15</f>
        <v>731.96835719000001</v>
      </c>
      <c r="R15" s="166">
        <f>+'2022 йил'!N15</f>
        <v>736.37769183</v>
      </c>
      <c r="S15" s="66">
        <f t="shared" si="4"/>
        <v>3254.43638951</v>
      </c>
      <c r="T15" s="64">
        <f t="shared" si="11"/>
        <v>1086.9817540399999</v>
      </c>
      <c r="U15" s="67">
        <f>+'2023 йил'!F15</f>
        <v>1080.4728814300001</v>
      </c>
      <c r="V15" s="68">
        <f>+'2023 йил'!M15</f>
        <v>1086.9817540399999</v>
      </c>
      <c r="W15" s="48"/>
      <c r="X15" s="109">
        <v>82.985337009999967</v>
      </c>
      <c r="Y15" s="112">
        <v>42.426168159999968</v>
      </c>
      <c r="Z15" s="112">
        <v>40.559168849999999</v>
      </c>
      <c r="AB15" s="114"/>
      <c r="AE15" s="48"/>
      <c r="AF15" s="48"/>
      <c r="AG15" s="48"/>
      <c r="AH15" s="48"/>
    </row>
    <row r="16" spans="1:34" s="54" customFormat="1" ht="55.5" customHeight="1" x14ac:dyDescent="0.25">
      <c r="A16" s="175">
        <v>9</v>
      </c>
      <c r="B16" s="55" t="s">
        <v>13</v>
      </c>
      <c r="C16" s="66">
        <f t="shared" si="1"/>
        <v>1390.1389271399999</v>
      </c>
      <c r="D16" s="67">
        <f t="shared" si="5"/>
        <v>464.30640163999999</v>
      </c>
      <c r="E16" s="67">
        <f t="shared" si="6"/>
        <v>461.52612386000004</v>
      </c>
      <c r="F16" s="68">
        <f t="shared" si="7"/>
        <v>464.30640163999999</v>
      </c>
      <c r="G16" s="66">
        <f t="shared" si="2"/>
        <v>123.23497361</v>
      </c>
      <c r="H16" s="64">
        <v>15.050801449999994</v>
      </c>
      <c r="I16" s="67">
        <f>+'2020 йил'!F16</f>
        <v>53.929647380000006</v>
      </c>
      <c r="J16" s="68">
        <f>+'2020 йил'!Q16</f>
        <v>54.254524779999997</v>
      </c>
      <c r="K16" s="66">
        <f t="shared" si="3"/>
        <v>1266.9039535300001</v>
      </c>
      <c r="L16" s="64">
        <f t="shared" si="8"/>
        <v>449.25560019</v>
      </c>
      <c r="M16" s="67">
        <f>+'2021 йил'!F16</f>
        <v>407.59647648000004</v>
      </c>
      <c r="N16" s="68">
        <f>+'2021 йил'!Q16</f>
        <v>410.05187685999999</v>
      </c>
      <c r="O16" s="166">
        <f t="shared" si="9"/>
        <v>1705.6053780599998</v>
      </c>
      <c r="P16" s="165">
        <f t="shared" si="10"/>
        <v>569.67219627999998</v>
      </c>
      <c r="Q16" s="166">
        <f>+'2022 йил'!F16</f>
        <v>566.26098549999995</v>
      </c>
      <c r="R16" s="166">
        <f>+'2022 йил'!N16</f>
        <v>569.67219627999998</v>
      </c>
      <c r="S16" s="66">
        <f t="shared" si="4"/>
        <v>2490.4390105700004</v>
      </c>
      <c r="T16" s="64">
        <f t="shared" si="11"/>
        <v>831.80662944000005</v>
      </c>
      <c r="U16" s="67">
        <f>+'2023 йил'!F16</f>
        <v>826.82575169000006</v>
      </c>
      <c r="V16" s="68">
        <f>+'2023 йил'!M16</f>
        <v>831.80662944000005</v>
      </c>
      <c r="W16" s="48"/>
      <c r="X16" s="109">
        <v>54.254524779999997</v>
      </c>
      <c r="Y16" s="112">
        <v>15.050801449999994</v>
      </c>
      <c r="Z16" s="112">
        <v>39.203723330000003</v>
      </c>
      <c r="AB16" s="114"/>
      <c r="AE16" s="48"/>
      <c r="AF16" s="48"/>
      <c r="AG16" s="48"/>
      <c r="AH16" s="48"/>
    </row>
    <row r="17" spans="1:34" s="54" customFormat="1" ht="55.5" customHeight="1" x14ac:dyDescent="0.25">
      <c r="A17" s="50">
        <v>10</v>
      </c>
      <c r="B17" s="55" t="s">
        <v>14</v>
      </c>
      <c r="C17" s="66">
        <f t="shared" si="1"/>
        <v>1187.79537914</v>
      </c>
      <c r="D17" s="67">
        <f t="shared" si="5"/>
        <v>396.72364768</v>
      </c>
      <c r="E17" s="67">
        <f t="shared" si="6"/>
        <v>394.34808377999997</v>
      </c>
      <c r="F17" s="68">
        <f t="shared" si="7"/>
        <v>396.72364768</v>
      </c>
      <c r="G17" s="66">
        <f t="shared" si="2"/>
        <v>111.28173221000003</v>
      </c>
      <c r="H17" s="64">
        <v>21.242943920000016</v>
      </c>
      <c r="I17" s="67">
        <f>+'2020 йил'!F17</f>
        <v>44.884200759999999</v>
      </c>
      <c r="J17" s="68">
        <f>+'2020 йил'!Q17</f>
        <v>45.154587530000015</v>
      </c>
      <c r="K17" s="66">
        <f t="shared" si="3"/>
        <v>1076.51364693</v>
      </c>
      <c r="L17" s="64">
        <f t="shared" si="8"/>
        <v>375.48070375999998</v>
      </c>
      <c r="M17" s="67">
        <f>+'2021 йил'!F17</f>
        <v>349.46388301999997</v>
      </c>
      <c r="N17" s="68">
        <f>+'2021 йил'!Q17</f>
        <v>351.56906014999998</v>
      </c>
      <c r="O17" s="166">
        <f t="shared" si="9"/>
        <v>1285.9938192</v>
      </c>
      <c r="P17" s="165">
        <f t="shared" si="10"/>
        <v>429.52144886000002</v>
      </c>
      <c r="Q17" s="166">
        <f>+'2022 йил'!F17</f>
        <v>426.95092148000003</v>
      </c>
      <c r="R17" s="166">
        <f>+'2022 йил'!N17</f>
        <v>429.52144886000002</v>
      </c>
      <c r="S17" s="66">
        <f t="shared" si="4"/>
        <v>2184.66517337</v>
      </c>
      <c r="T17" s="64">
        <f t="shared" si="11"/>
        <v>729.67816790999996</v>
      </c>
      <c r="U17" s="67">
        <f>+'2023 йил'!F17</f>
        <v>725.30883754999991</v>
      </c>
      <c r="V17" s="68">
        <f>+'2023 йил'!M17</f>
        <v>729.67816790999996</v>
      </c>
      <c r="W17" s="48"/>
      <c r="X17" s="109">
        <v>45.154587530000015</v>
      </c>
      <c r="Y17" s="112">
        <v>21.242943920000016</v>
      </c>
      <c r="Z17" s="112">
        <v>23.911643609999999</v>
      </c>
      <c r="AB17" s="114"/>
      <c r="AE17" s="48"/>
      <c r="AF17" s="48"/>
      <c r="AG17" s="48"/>
      <c r="AH17" s="48"/>
    </row>
    <row r="18" spans="1:34" s="54" customFormat="1" ht="55.5" customHeight="1" x14ac:dyDescent="0.25">
      <c r="A18" s="175">
        <v>11</v>
      </c>
      <c r="B18" s="55" t="s">
        <v>15</v>
      </c>
      <c r="C18" s="66">
        <f t="shared" si="1"/>
        <v>984.01714990000005</v>
      </c>
      <c r="D18" s="67">
        <f t="shared" si="5"/>
        <v>328.66172806000003</v>
      </c>
      <c r="E18" s="67">
        <f t="shared" si="6"/>
        <v>326.69369378000005</v>
      </c>
      <c r="F18" s="68">
        <f t="shared" si="7"/>
        <v>328.66172806000003</v>
      </c>
      <c r="G18" s="66">
        <f t="shared" si="2"/>
        <v>65.930072790000054</v>
      </c>
      <c r="H18" s="64">
        <v>14.399921890000021</v>
      </c>
      <c r="I18" s="67">
        <f>+'2020 йил'!F18</f>
        <v>25.687702860000002</v>
      </c>
      <c r="J18" s="68">
        <f>+'2020 йил'!Q18</f>
        <v>25.842448040000022</v>
      </c>
      <c r="K18" s="66">
        <f t="shared" si="3"/>
        <v>918.08707711000011</v>
      </c>
      <c r="L18" s="64">
        <f t="shared" si="8"/>
        <v>314.26180617</v>
      </c>
      <c r="M18" s="67">
        <f>+'2021 йил'!F18</f>
        <v>301.00599092000004</v>
      </c>
      <c r="N18" s="68">
        <f>+'2021 йил'!Q18</f>
        <v>302.81928002000001</v>
      </c>
      <c r="O18" s="166">
        <f t="shared" si="9"/>
        <v>1257.2356041200001</v>
      </c>
      <c r="P18" s="165">
        <f t="shared" si="10"/>
        <v>419.91669181999998</v>
      </c>
      <c r="Q18" s="166">
        <f>+'2022 йил'!F18</f>
        <v>417.40222048000004</v>
      </c>
      <c r="R18" s="166">
        <f>+'2022 йил'!N18</f>
        <v>419.91669181999998</v>
      </c>
      <c r="S18" s="66">
        <f t="shared" si="4"/>
        <v>1633.4179988199999</v>
      </c>
      <c r="T18" s="64">
        <f t="shared" si="11"/>
        <v>545.56161161</v>
      </c>
      <c r="U18" s="67">
        <f>+'2023 йил'!F18</f>
        <v>542.29477559999998</v>
      </c>
      <c r="V18" s="68">
        <f>+'2023 йил'!M18</f>
        <v>545.56161161</v>
      </c>
      <c r="W18" s="48"/>
      <c r="X18" s="109">
        <v>25.842448040000022</v>
      </c>
      <c r="Y18" s="112">
        <v>14.399921890000021</v>
      </c>
      <c r="Z18" s="112">
        <v>11.442526150000001</v>
      </c>
      <c r="AB18" s="114"/>
      <c r="AE18" s="48"/>
      <c r="AF18" s="48"/>
      <c r="AG18" s="48"/>
      <c r="AH18" s="48"/>
    </row>
    <row r="19" spans="1:34" s="54" customFormat="1" ht="55.5" customHeight="1" x14ac:dyDescent="0.25">
      <c r="A19" s="50">
        <v>12</v>
      </c>
      <c r="B19" s="55" t="s">
        <v>16</v>
      </c>
      <c r="C19" s="66">
        <f t="shared" si="1"/>
        <v>1157.7495341399999</v>
      </c>
      <c r="D19" s="67">
        <f t="shared" si="5"/>
        <v>386.68834446999995</v>
      </c>
      <c r="E19" s="67">
        <f t="shared" si="6"/>
        <v>384.37284520000003</v>
      </c>
      <c r="F19" s="68">
        <f t="shared" si="7"/>
        <v>386.68834446999995</v>
      </c>
      <c r="G19" s="66">
        <f t="shared" si="2"/>
        <v>119.11227367999999</v>
      </c>
      <c r="H19" s="64">
        <v>24.844731379999988</v>
      </c>
      <c r="I19" s="67">
        <f>+'2020 йил'!F19</f>
        <v>46.992228290000014</v>
      </c>
      <c r="J19" s="68">
        <f>+'2020 йил'!Q19</f>
        <v>47.275314009999988</v>
      </c>
      <c r="K19" s="66">
        <f t="shared" si="3"/>
        <v>1038.6372604600001</v>
      </c>
      <c r="L19" s="64">
        <f t="shared" si="8"/>
        <v>361.84361308999996</v>
      </c>
      <c r="M19" s="67">
        <f>+'2021 йил'!F19</f>
        <v>337.38061691000001</v>
      </c>
      <c r="N19" s="68">
        <f>+'2021 йил'!Q19</f>
        <v>339.41303045999996</v>
      </c>
      <c r="O19" s="166">
        <f t="shared" si="9"/>
        <v>1623.4185563400001</v>
      </c>
      <c r="P19" s="165">
        <f t="shared" si="10"/>
        <v>542.22179783000001</v>
      </c>
      <c r="Q19" s="166">
        <f>+'2022 йил'!F19</f>
        <v>538.97496067999998</v>
      </c>
      <c r="R19" s="166">
        <f>+'2022 йил'!N19</f>
        <v>542.22179783000001</v>
      </c>
      <c r="S19" s="66">
        <f t="shared" si="4"/>
        <v>2310.9954091499999</v>
      </c>
      <c r="T19" s="64">
        <f t="shared" si="11"/>
        <v>774.47003461999998</v>
      </c>
      <c r="U19" s="67">
        <f>+'2023 йил'!F19</f>
        <v>762.05533990999993</v>
      </c>
      <c r="V19" s="68">
        <f>+'2023 йил'!M19</f>
        <v>774.47003461999998</v>
      </c>
      <c r="W19" s="48"/>
      <c r="X19" s="109">
        <v>47.275314009999988</v>
      </c>
      <c r="Y19" s="112">
        <v>24.844731379999988</v>
      </c>
      <c r="Z19" s="112">
        <v>22.43058263</v>
      </c>
      <c r="AB19" s="114"/>
      <c r="AE19" s="48"/>
      <c r="AF19" s="48"/>
      <c r="AG19" s="48"/>
      <c r="AH19" s="48"/>
    </row>
    <row r="20" spans="1:34" s="54" customFormat="1" ht="55.5" customHeight="1" x14ac:dyDescent="0.25">
      <c r="A20" s="175">
        <v>13</v>
      </c>
      <c r="B20" s="55" t="s">
        <v>17</v>
      </c>
      <c r="C20" s="66">
        <f t="shared" si="1"/>
        <v>853.08356631000004</v>
      </c>
      <c r="D20" s="67">
        <f t="shared" si="5"/>
        <v>284.92991113000005</v>
      </c>
      <c r="E20" s="67">
        <f t="shared" si="6"/>
        <v>283.22374404999999</v>
      </c>
      <c r="F20" s="68">
        <f t="shared" si="7"/>
        <v>284.92991113000005</v>
      </c>
      <c r="G20" s="66">
        <f t="shared" si="2"/>
        <v>77.672023980000063</v>
      </c>
      <c r="H20" s="64">
        <v>16.131677290000034</v>
      </c>
      <c r="I20" s="67">
        <f>+'2020 йил'!F20</f>
        <v>30.677770420000002</v>
      </c>
      <c r="J20" s="68">
        <f>+'2020 йил'!Q20</f>
        <v>30.862576270000034</v>
      </c>
      <c r="K20" s="66">
        <f t="shared" si="3"/>
        <v>775.41154232999997</v>
      </c>
      <c r="L20" s="64">
        <f t="shared" si="8"/>
        <v>268.79823384000002</v>
      </c>
      <c r="M20" s="67">
        <f>+'2021 йил'!F20</f>
        <v>252.54597362999999</v>
      </c>
      <c r="N20" s="68">
        <f>+'2021 йил'!Q20</f>
        <v>254.06733486000002</v>
      </c>
      <c r="O20" s="166">
        <f t="shared" si="9"/>
        <v>1156.8299274199999</v>
      </c>
      <c r="P20" s="165">
        <f t="shared" si="10"/>
        <v>386.51064444999997</v>
      </c>
      <c r="Q20" s="166">
        <f>+'2022 йил'!F20</f>
        <v>383.80863851999999</v>
      </c>
      <c r="R20" s="166">
        <f>+'2022 йил'!N20</f>
        <v>386.51064444999997</v>
      </c>
      <c r="S20" s="66">
        <f t="shared" si="4"/>
        <v>2153.37636501</v>
      </c>
      <c r="T20" s="64">
        <f t="shared" si="11"/>
        <v>719.22770590999994</v>
      </c>
      <c r="U20" s="67">
        <f>+'2023 йил'!F20</f>
        <v>714.92095319000009</v>
      </c>
      <c r="V20" s="68">
        <f>+'2023 йил'!M20</f>
        <v>719.22770590999994</v>
      </c>
      <c r="W20" s="48"/>
      <c r="X20" s="109">
        <v>30.862576270000034</v>
      </c>
      <c r="Y20" s="112">
        <v>16.131677290000034</v>
      </c>
      <c r="Z20" s="112">
        <v>14.730898979999999</v>
      </c>
      <c r="AB20" s="114"/>
      <c r="AE20" s="48"/>
      <c r="AF20" s="48"/>
      <c r="AG20" s="48"/>
      <c r="AH20" s="48"/>
    </row>
    <row r="21" spans="1:34" s="54" customFormat="1" ht="55.5" customHeight="1" thickBot="1" x14ac:dyDescent="0.3">
      <c r="A21" s="50">
        <v>14</v>
      </c>
      <c r="B21" s="56" t="s">
        <v>18</v>
      </c>
      <c r="C21" s="69">
        <f t="shared" si="1"/>
        <v>631.26232516000005</v>
      </c>
      <c r="D21" s="70">
        <f t="shared" si="5"/>
        <v>210.84161665000002</v>
      </c>
      <c r="E21" s="70">
        <f t="shared" si="6"/>
        <v>209.57909185999998</v>
      </c>
      <c r="F21" s="71">
        <f t="shared" si="7"/>
        <v>210.84161665000002</v>
      </c>
      <c r="G21" s="69">
        <f t="shared" si="2"/>
        <v>25.173446690000009</v>
      </c>
      <c r="H21" s="105">
        <v>4.9631979100000079</v>
      </c>
      <c r="I21" s="70">
        <f>+'2020 йил'!F21</f>
        <v>10.074778659999993</v>
      </c>
      <c r="J21" s="71">
        <f>+'2020 йил'!Q21</f>
        <v>10.135470120000008</v>
      </c>
      <c r="K21" s="69">
        <f t="shared" si="3"/>
        <v>606.08887847000005</v>
      </c>
      <c r="L21" s="105">
        <f t="shared" si="8"/>
        <v>205.87841874</v>
      </c>
      <c r="M21" s="70">
        <f>+'2021 йил'!F21</f>
        <v>199.50431319999998</v>
      </c>
      <c r="N21" s="71">
        <f>+'2021 йил'!Q21</f>
        <v>200.70614653000001</v>
      </c>
      <c r="O21" s="167">
        <f t="shared" si="9"/>
        <v>954.53879705000008</v>
      </c>
      <c r="P21" s="165">
        <f t="shared" si="10"/>
        <v>318.81595823000004</v>
      </c>
      <c r="Q21" s="167">
        <f>+'2022 йил'!F21</f>
        <v>316.90688058999996</v>
      </c>
      <c r="R21" s="167">
        <f>+'2022 йил'!N21</f>
        <v>318.81595823000004</v>
      </c>
      <c r="S21" s="69">
        <f t="shared" si="4"/>
        <v>1353.1031888</v>
      </c>
      <c r="T21" s="64">
        <f t="shared" si="11"/>
        <v>451.93646501000001</v>
      </c>
      <c r="U21" s="70">
        <f>+'2023 йил'!F21</f>
        <v>449.23025877999999</v>
      </c>
      <c r="V21" s="71">
        <f>+'2023 йил'!M21</f>
        <v>451.93646501000001</v>
      </c>
      <c r="W21" s="48"/>
      <c r="X21" s="110">
        <v>10.135470120000008</v>
      </c>
      <c r="Y21" s="113">
        <v>4.9631979100000079</v>
      </c>
      <c r="Z21" s="113">
        <v>5.17227221</v>
      </c>
      <c r="AB21" s="114"/>
      <c r="AE21" s="48"/>
      <c r="AF21" s="48"/>
      <c r="AG21" s="48"/>
      <c r="AH21" s="48"/>
    </row>
    <row r="23" spans="1:34" ht="23.25" x14ac:dyDescent="0.25">
      <c r="D23" s="122"/>
      <c r="E23" s="122"/>
      <c r="F23" s="122"/>
    </row>
    <row r="24" spans="1:34" ht="23.25" x14ac:dyDescent="0.25">
      <c r="D24" s="121"/>
      <c r="E24" s="121"/>
      <c r="F24" s="121"/>
    </row>
  </sheetData>
  <mergeCells count="22">
    <mergeCell ref="L5:N5"/>
    <mergeCell ref="A1:V1"/>
    <mergeCell ref="B2:V2"/>
    <mergeCell ref="X4:Z5"/>
    <mergeCell ref="A3:B3"/>
    <mergeCell ref="P5:R5"/>
    <mergeCell ref="A7:B7"/>
    <mergeCell ref="C4:F4"/>
    <mergeCell ref="C5:C6"/>
    <mergeCell ref="D5:F5"/>
    <mergeCell ref="S4:V4"/>
    <mergeCell ref="S5:S6"/>
    <mergeCell ref="T5:V5"/>
    <mergeCell ref="A4:A6"/>
    <mergeCell ref="B4:B6"/>
    <mergeCell ref="G4:J4"/>
    <mergeCell ref="K4:N4"/>
    <mergeCell ref="G5:G6"/>
    <mergeCell ref="H5:J5"/>
    <mergeCell ref="K5:K6"/>
    <mergeCell ref="O4:R4"/>
    <mergeCell ref="O5:O6"/>
  </mergeCells>
  <printOptions horizontalCentered="1" verticalCentered="1"/>
  <pageMargins left="0" right="0" top="0.19685039370078741" bottom="0" header="0" footer="0"/>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3"/>
  <sheetViews>
    <sheetView view="pageBreakPreview" zoomScale="70" zoomScaleSheetLayoutView="70" workbookViewId="0">
      <selection activeCell="E10" sqref="E10"/>
    </sheetView>
  </sheetViews>
  <sheetFormatPr defaultRowHeight="18.75" outlineLevelCol="1" x14ac:dyDescent="0.25"/>
  <cols>
    <col min="1" max="1" width="6.140625" style="34" customWidth="1"/>
    <col min="2" max="2" width="28.7109375" style="34" customWidth="1"/>
    <col min="3" max="4" width="18.42578125" style="34" customWidth="1"/>
    <col min="5" max="5" width="19.7109375" style="34" hidden="1" customWidth="1" outlineLevel="1"/>
    <col min="6" max="7" width="18.42578125" style="34" hidden="1" customWidth="1" outlineLevel="1"/>
    <col min="8" max="8" width="21.7109375" style="34" hidden="1" customWidth="1" outlineLevel="1"/>
    <col min="9" max="9" width="18.42578125" style="34" customWidth="1" collapsed="1"/>
    <col min="10" max="12" width="18.5703125" style="34" hidden="1" customWidth="1" outlineLevel="1"/>
    <col min="13" max="13" width="18.42578125" style="34" customWidth="1" collapsed="1"/>
    <col min="14" max="15" width="18.42578125" style="34" customWidth="1"/>
    <col min="16" max="19" width="18.42578125" style="34" hidden="1" customWidth="1" outlineLevel="1"/>
    <col min="20" max="20" width="18.42578125" style="34" customWidth="1" collapsed="1"/>
    <col min="21" max="23" width="18.42578125" style="34" hidden="1" customWidth="1" outlineLevel="1"/>
    <col min="24" max="24" width="18.42578125" style="34" customWidth="1" collapsed="1"/>
    <col min="25" max="25" width="9.140625" style="34"/>
    <col min="26" max="26" width="16" style="27" hidden="1" customWidth="1"/>
    <col min="27" max="27" width="17.140625" style="27" hidden="1" customWidth="1"/>
    <col min="28" max="28" width="9.85546875" style="34" bestFit="1" customWidth="1"/>
    <col min="29" max="29" width="16.28515625" style="34" bestFit="1" customWidth="1"/>
    <col min="30" max="31" width="9.140625" style="34"/>
    <col min="32" max="32" width="19.7109375" style="34" bestFit="1" customWidth="1"/>
    <col min="33" max="33" width="9.140625" style="34"/>
    <col min="34" max="34" width="15.140625" style="34" bestFit="1" customWidth="1"/>
    <col min="35" max="16384" width="9.140625" style="34"/>
  </cols>
  <sheetData>
    <row r="1" spans="1:34" ht="60" customHeight="1" x14ac:dyDescent="0.25">
      <c r="A1" s="616" t="s">
        <v>85</v>
      </c>
      <c r="B1" s="616"/>
      <c r="C1" s="616"/>
      <c r="D1" s="616"/>
      <c r="E1" s="616"/>
      <c r="F1" s="616"/>
      <c r="G1" s="616"/>
      <c r="H1" s="616"/>
      <c r="I1" s="616"/>
      <c r="J1" s="616"/>
      <c r="K1" s="616"/>
      <c r="L1" s="616"/>
      <c r="M1" s="616"/>
      <c r="N1" s="616"/>
      <c r="O1" s="616"/>
      <c r="P1" s="616"/>
      <c r="Q1" s="616"/>
      <c r="R1" s="616"/>
      <c r="S1" s="616"/>
      <c r="T1" s="616"/>
      <c r="U1" s="616"/>
      <c r="V1" s="616"/>
      <c r="W1" s="616"/>
      <c r="X1" s="616"/>
      <c r="Y1" s="23"/>
      <c r="Z1" s="24"/>
      <c r="AA1" s="24"/>
    </row>
    <row r="2" spans="1:34" ht="23.25" customHeight="1" x14ac:dyDescent="0.25">
      <c r="A2" s="23"/>
      <c r="B2" s="617" t="s">
        <v>19</v>
      </c>
      <c r="C2" s="617"/>
      <c r="D2" s="617"/>
      <c r="E2" s="617"/>
      <c r="F2" s="617"/>
      <c r="G2" s="617"/>
      <c r="H2" s="617"/>
      <c r="I2" s="617"/>
      <c r="J2" s="617"/>
      <c r="K2" s="617"/>
      <c r="L2" s="617"/>
      <c r="M2" s="617"/>
      <c r="N2" s="617"/>
      <c r="O2" s="617"/>
      <c r="P2" s="617"/>
      <c r="Q2" s="617"/>
      <c r="R2" s="617"/>
      <c r="S2" s="617"/>
      <c r="T2" s="617"/>
      <c r="U2" s="617"/>
      <c r="V2" s="617"/>
      <c r="W2" s="617"/>
      <c r="X2" s="617"/>
      <c r="Y2" s="23"/>
      <c r="Z2" s="24"/>
      <c r="AA2" s="24"/>
    </row>
    <row r="3" spans="1:34" ht="30" customHeight="1" thickBot="1" x14ac:dyDescent="0.3">
      <c r="A3" s="618" t="s">
        <v>108</v>
      </c>
      <c r="B3" s="618"/>
      <c r="C3" s="25"/>
      <c r="M3" s="26"/>
      <c r="T3" s="618" t="s">
        <v>59</v>
      </c>
      <c r="U3" s="618"/>
      <c r="V3" s="618"/>
      <c r="W3" s="618"/>
      <c r="X3" s="618"/>
    </row>
    <row r="4" spans="1:34" ht="31.5" customHeight="1" x14ac:dyDescent="0.25">
      <c r="A4" s="619" t="s">
        <v>0</v>
      </c>
      <c r="B4" s="622" t="s">
        <v>4</v>
      </c>
      <c r="C4" s="619" t="s">
        <v>2</v>
      </c>
      <c r="D4" s="623"/>
      <c r="E4" s="623"/>
      <c r="F4" s="623"/>
      <c r="G4" s="623"/>
      <c r="H4" s="623"/>
      <c r="I4" s="623"/>
      <c r="J4" s="625"/>
      <c r="K4" s="625"/>
      <c r="L4" s="625"/>
      <c r="M4" s="622"/>
      <c r="N4" s="619" t="s">
        <v>1</v>
      </c>
      <c r="O4" s="623"/>
      <c r="P4" s="623"/>
      <c r="Q4" s="623"/>
      <c r="R4" s="623"/>
      <c r="S4" s="623"/>
      <c r="T4" s="623"/>
      <c r="U4" s="625"/>
      <c r="V4" s="625"/>
      <c r="W4" s="625"/>
      <c r="X4" s="622"/>
    </row>
    <row r="5" spans="1:34" ht="25.5" customHeight="1" x14ac:dyDescent="0.25">
      <c r="A5" s="620"/>
      <c r="B5" s="612"/>
      <c r="C5" s="614" t="s">
        <v>71</v>
      </c>
      <c r="D5" s="610" t="s">
        <v>66</v>
      </c>
      <c r="E5" s="608" t="s">
        <v>5</v>
      </c>
      <c r="F5" s="609"/>
      <c r="G5" s="609"/>
      <c r="H5" s="629"/>
      <c r="I5" s="630" t="s">
        <v>65</v>
      </c>
      <c r="J5" s="626" t="s">
        <v>5</v>
      </c>
      <c r="K5" s="627"/>
      <c r="L5" s="628"/>
      <c r="M5" s="612" t="s">
        <v>72</v>
      </c>
      <c r="N5" s="614" t="s">
        <v>71</v>
      </c>
      <c r="O5" s="610" t="s">
        <v>66</v>
      </c>
      <c r="P5" s="608" t="s">
        <v>5</v>
      </c>
      <c r="Q5" s="609"/>
      <c r="R5" s="609"/>
      <c r="S5" s="629"/>
      <c r="T5" s="630" t="s">
        <v>65</v>
      </c>
      <c r="U5" s="626" t="s">
        <v>5</v>
      </c>
      <c r="V5" s="627"/>
      <c r="W5" s="628"/>
      <c r="X5" s="612" t="s">
        <v>72</v>
      </c>
      <c r="Z5" s="624" t="s">
        <v>58</v>
      </c>
      <c r="AA5" s="624"/>
    </row>
    <row r="6" spans="1:34" ht="100.5" customHeight="1" thickBot="1" x14ac:dyDescent="0.3">
      <c r="A6" s="621"/>
      <c r="B6" s="613"/>
      <c r="C6" s="615"/>
      <c r="D6" s="611"/>
      <c r="E6" s="35" t="s">
        <v>68</v>
      </c>
      <c r="F6" s="36" t="s">
        <v>63</v>
      </c>
      <c r="G6" s="35" t="s">
        <v>67</v>
      </c>
      <c r="H6" s="36" t="s">
        <v>64</v>
      </c>
      <c r="I6" s="631"/>
      <c r="J6" s="18" t="s">
        <v>73</v>
      </c>
      <c r="K6" s="18" t="s">
        <v>74</v>
      </c>
      <c r="L6" s="18" t="s">
        <v>69</v>
      </c>
      <c r="M6" s="613"/>
      <c r="N6" s="615"/>
      <c r="O6" s="611"/>
      <c r="P6" s="35" t="s">
        <v>68</v>
      </c>
      <c r="Q6" s="36" t="s">
        <v>63</v>
      </c>
      <c r="R6" s="35" t="s">
        <v>67</v>
      </c>
      <c r="S6" s="36" t="s">
        <v>64</v>
      </c>
      <c r="T6" s="631"/>
      <c r="U6" s="18" t="s">
        <v>73</v>
      </c>
      <c r="V6" s="18" t="s">
        <v>74</v>
      </c>
      <c r="W6" s="18" t="s">
        <v>69</v>
      </c>
      <c r="X6" s="613"/>
      <c r="Z6" s="28" t="s">
        <v>56</v>
      </c>
      <c r="AA6" s="28" t="s">
        <v>57</v>
      </c>
    </row>
    <row r="7" spans="1:34" ht="39.75" customHeight="1" thickBot="1" x14ac:dyDescent="0.3">
      <c r="A7" s="606" t="s">
        <v>3</v>
      </c>
      <c r="B7" s="607"/>
      <c r="C7" s="1">
        <f t="shared" ref="C7:X7" si="0">SUM(C9:C21)</f>
        <v>0</v>
      </c>
      <c r="D7" s="2">
        <f t="shared" si="0"/>
        <v>5022.1074119900004</v>
      </c>
      <c r="E7" s="2">
        <f t="shared" si="0"/>
        <v>4073</v>
      </c>
      <c r="F7" s="2">
        <f t="shared" si="0"/>
        <v>849.10741198999983</v>
      </c>
      <c r="G7" s="2">
        <f t="shared" si="0"/>
        <v>100</v>
      </c>
      <c r="H7" s="2">
        <f t="shared" si="0"/>
        <v>0</v>
      </c>
      <c r="I7" s="2">
        <f>SUM(I9:I21)</f>
        <v>2141.9000000000005</v>
      </c>
      <c r="J7" s="10">
        <f>SUM(J9:J21)</f>
        <v>2141.9000000000005</v>
      </c>
      <c r="K7" s="10">
        <f t="shared" si="0"/>
        <v>0</v>
      </c>
      <c r="L7" s="10">
        <f t="shared" si="0"/>
        <v>0</v>
      </c>
      <c r="M7" s="3">
        <f t="shared" si="0"/>
        <v>2880.2074119899994</v>
      </c>
      <c r="N7" s="1">
        <f t="shared" si="0"/>
        <v>0</v>
      </c>
      <c r="O7" s="2">
        <f t="shared" si="0"/>
        <v>4981.5225169899995</v>
      </c>
      <c r="P7" s="2">
        <f t="shared" si="0"/>
        <v>4027</v>
      </c>
      <c r="Q7" s="2">
        <f t="shared" si="0"/>
        <v>854.52251698999999</v>
      </c>
      <c r="R7" s="2">
        <f t="shared" si="0"/>
        <v>100</v>
      </c>
      <c r="S7" s="2">
        <f t="shared" si="0"/>
        <v>0</v>
      </c>
      <c r="T7" s="2">
        <f t="shared" si="0"/>
        <v>2610.6999999999998</v>
      </c>
      <c r="U7" s="10">
        <f t="shared" si="0"/>
        <v>2610.6999999999998</v>
      </c>
      <c r="V7" s="10">
        <f t="shared" si="0"/>
        <v>0</v>
      </c>
      <c r="W7" s="10">
        <f t="shared" si="0"/>
        <v>0</v>
      </c>
      <c r="X7" s="3">
        <f t="shared" si="0"/>
        <v>2370.8225169900002</v>
      </c>
      <c r="Z7" s="29">
        <f>SUM(Z9:Z20)</f>
        <v>126.5</v>
      </c>
      <c r="AA7" s="29">
        <f>SUM(AA9:AA20)</f>
        <v>111.1</v>
      </c>
      <c r="AB7" s="26"/>
      <c r="AC7" s="33"/>
      <c r="AF7" s="26"/>
    </row>
    <row r="8" spans="1:34" ht="19.5" thickBot="1" x14ac:dyDescent="0.3">
      <c r="A8" s="241"/>
      <c r="B8" s="242"/>
      <c r="C8" s="243"/>
      <c r="D8" s="244"/>
      <c r="E8" s="244"/>
      <c r="F8" s="244"/>
      <c r="G8" s="244"/>
      <c r="H8" s="244"/>
      <c r="I8" s="244"/>
      <c r="J8" s="257"/>
      <c r="K8" s="257"/>
      <c r="L8" s="257"/>
      <c r="M8" s="245"/>
      <c r="N8" s="243"/>
      <c r="O8" s="244"/>
      <c r="P8" s="244"/>
      <c r="Q8" s="244"/>
      <c r="R8" s="244"/>
      <c r="S8" s="244"/>
      <c r="T8" s="244"/>
      <c r="U8" s="257"/>
      <c r="V8" s="257"/>
      <c r="W8" s="257"/>
      <c r="X8" s="245"/>
      <c r="Z8" s="29"/>
      <c r="AA8" s="29"/>
      <c r="AB8" s="26"/>
      <c r="AC8" s="33"/>
      <c r="AF8" s="26"/>
    </row>
    <row r="9" spans="1:34" s="32" customFormat="1" ht="39.75" customHeight="1" x14ac:dyDescent="0.25">
      <c r="A9" s="37">
        <v>1</v>
      </c>
      <c r="B9" s="38" t="s">
        <v>6</v>
      </c>
      <c r="C9" s="39"/>
      <c r="D9" s="40">
        <f>+E9+F9+G9+H9</f>
        <v>783.75237663999997</v>
      </c>
      <c r="E9" s="40">
        <v>568</v>
      </c>
      <c r="F9" s="40">
        <v>215.75237663999997</v>
      </c>
      <c r="G9" s="40"/>
      <c r="H9" s="40"/>
      <c r="I9" s="40">
        <f>+K9+L9+J9</f>
        <v>371.3</v>
      </c>
      <c r="J9" s="41">
        <v>371.3</v>
      </c>
      <c r="K9" s="42"/>
      <c r="L9" s="41"/>
      <c r="M9" s="43">
        <f>+C9+D9-I9</f>
        <v>412.45237663999995</v>
      </c>
      <c r="N9" s="39"/>
      <c r="O9" s="40">
        <f>+P9+Q9+R9+S9</f>
        <v>635.05208975999994</v>
      </c>
      <c r="P9" s="40">
        <v>418</v>
      </c>
      <c r="Q9" s="40">
        <v>217.05208975999994</v>
      </c>
      <c r="R9" s="40"/>
      <c r="S9" s="40"/>
      <c r="T9" s="40">
        <f>SUM(U9:W9)</f>
        <v>597.6</v>
      </c>
      <c r="U9" s="41">
        <v>597.6</v>
      </c>
      <c r="V9" s="41"/>
      <c r="W9" s="41"/>
      <c r="X9" s="43">
        <f>+N9+O9-T9</f>
        <v>37.452089759999922</v>
      </c>
      <c r="Y9" s="30"/>
      <c r="Z9" s="31">
        <v>23.2</v>
      </c>
      <c r="AA9" s="31">
        <v>11.1</v>
      </c>
      <c r="AB9" s="26"/>
      <c r="AC9" s="33"/>
      <c r="AD9" s="34"/>
      <c r="AF9" s="26"/>
      <c r="AH9" s="34"/>
    </row>
    <row r="10" spans="1:34" s="32" customFormat="1" ht="39.75" customHeight="1" x14ac:dyDescent="0.25">
      <c r="A10" s="19">
        <v>2</v>
      </c>
      <c r="B10" s="20" t="s">
        <v>7</v>
      </c>
      <c r="C10" s="4"/>
      <c r="D10" s="5">
        <f t="shared" ref="D10:D21" si="1">+E10+F10+G10+H10</f>
        <v>426.34609016000002</v>
      </c>
      <c r="E10" s="5">
        <v>381</v>
      </c>
      <c r="F10" s="5">
        <v>45.346090160000017</v>
      </c>
      <c r="G10" s="5"/>
      <c r="H10" s="5"/>
      <c r="I10" s="5">
        <f t="shared" ref="I10:I21" si="2">+K10+L10+J10</f>
        <v>379.4</v>
      </c>
      <c r="J10" s="11">
        <v>379.4</v>
      </c>
      <c r="K10" s="13"/>
      <c r="L10" s="11"/>
      <c r="M10" s="6">
        <f t="shared" ref="M10:M21" si="3">+C10+D10-I10</f>
        <v>46.94609016000004</v>
      </c>
      <c r="N10" s="4"/>
      <c r="O10" s="5">
        <f t="shared" ref="O10:O21" si="4">+P10+Q10+R10+S10</f>
        <v>327.91925938999998</v>
      </c>
      <c r="P10" s="5">
        <v>282</v>
      </c>
      <c r="Q10" s="5">
        <v>45.919259389999979</v>
      </c>
      <c r="R10" s="5"/>
      <c r="S10" s="5"/>
      <c r="T10" s="5">
        <f t="shared" ref="T10:T21" si="5">SUM(U10:W10)</f>
        <v>300.10000000000002</v>
      </c>
      <c r="U10" s="11">
        <v>300.10000000000002</v>
      </c>
      <c r="V10" s="11"/>
      <c r="W10" s="11"/>
      <c r="X10" s="6">
        <f t="shared" ref="X10:X21" si="6">+N10+O10-T10</f>
        <v>27.819259389999957</v>
      </c>
      <c r="Z10" s="31">
        <v>0</v>
      </c>
      <c r="AA10" s="31">
        <v>0</v>
      </c>
      <c r="AB10" s="26"/>
      <c r="AC10" s="33"/>
      <c r="AD10" s="34"/>
      <c r="AF10" s="26"/>
      <c r="AH10" s="34"/>
    </row>
    <row r="11" spans="1:34" s="32" customFormat="1" ht="39.75" customHeight="1" x14ac:dyDescent="0.25">
      <c r="A11" s="19">
        <v>3</v>
      </c>
      <c r="B11" s="20" t="s">
        <v>8</v>
      </c>
      <c r="C11" s="4"/>
      <c r="D11" s="5">
        <f t="shared" si="1"/>
        <v>313.68430670999999</v>
      </c>
      <c r="E11" s="5">
        <v>168</v>
      </c>
      <c r="F11" s="5">
        <v>45.684306709999987</v>
      </c>
      <c r="G11" s="5">
        <v>100</v>
      </c>
      <c r="H11" s="5"/>
      <c r="I11" s="5">
        <f t="shared" si="2"/>
        <v>210</v>
      </c>
      <c r="J11" s="11">
        <v>210</v>
      </c>
      <c r="K11" s="13"/>
      <c r="L11" s="11"/>
      <c r="M11" s="6">
        <f t="shared" si="3"/>
        <v>103.68430670999999</v>
      </c>
      <c r="N11" s="4"/>
      <c r="O11" s="5">
        <f t="shared" si="4"/>
        <v>245.95951341999998</v>
      </c>
      <c r="P11" s="5">
        <v>100</v>
      </c>
      <c r="Q11" s="5">
        <v>45.959513419999979</v>
      </c>
      <c r="R11" s="5">
        <v>100</v>
      </c>
      <c r="S11" s="5"/>
      <c r="T11" s="5">
        <f t="shared" si="5"/>
        <v>167.8</v>
      </c>
      <c r="U11" s="11">
        <v>167.8</v>
      </c>
      <c r="V11" s="11"/>
      <c r="W11" s="11"/>
      <c r="X11" s="6">
        <f t="shared" si="6"/>
        <v>78.159513419999968</v>
      </c>
      <c r="Z11" s="31">
        <v>0</v>
      </c>
      <c r="AA11" s="31">
        <v>0</v>
      </c>
      <c r="AB11" s="26"/>
      <c r="AC11" s="33"/>
      <c r="AD11" s="34"/>
      <c r="AF11" s="26"/>
      <c r="AH11" s="34"/>
    </row>
    <row r="12" spans="1:34" s="32" customFormat="1" ht="39.75" customHeight="1" x14ac:dyDescent="0.25">
      <c r="A12" s="19">
        <v>4</v>
      </c>
      <c r="B12" s="20" t="s">
        <v>9</v>
      </c>
      <c r="C12" s="4"/>
      <c r="D12" s="5">
        <f>+E12+F12+G12+H12</f>
        <v>318.16836652000001</v>
      </c>
      <c r="E12" s="5">
        <v>260</v>
      </c>
      <c r="F12" s="5">
        <v>58.168366520000006</v>
      </c>
      <c r="G12" s="5"/>
      <c r="H12" s="5"/>
      <c r="I12" s="5">
        <f t="shared" si="2"/>
        <v>0</v>
      </c>
      <c r="J12" s="11"/>
      <c r="K12" s="13"/>
      <c r="L12" s="11"/>
      <c r="M12" s="6">
        <f t="shared" si="3"/>
        <v>318.16836652000001</v>
      </c>
      <c r="N12" s="4"/>
      <c r="O12" s="5">
        <f t="shared" si="4"/>
        <v>418.51877841000004</v>
      </c>
      <c r="P12" s="5">
        <v>360</v>
      </c>
      <c r="Q12" s="5">
        <v>58.518778410000039</v>
      </c>
      <c r="R12" s="5"/>
      <c r="S12" s="5"/>
      <c r="T12" s="5">
        <f t="shared" si="5"/>
        <v>0</v>
      </c>
      <c r="U12" s="11"/>
      <c r="V12" s="11"/>
      <c r="W12" s="11"/>
      <c r="X12" s="6">
        <f t="shared" si="6"/>
        <v>418.51877841000004</v>
      </c>
      <c r="Z12" s="31">
        <v>0</v>
      </c>
      <c r="AA12" s="31">
        <v>0</v>
      </c>
      <c r="AB12" s="26"/>
      <c r="AC12" s="33"/>
      <c r="AD12" s="34"/>
      <c r="AF12" s="26"/>
      <c r="AH12" s="34"/>
    </row>
    <row r="13" spans="1:34" s="32" customFormat="1" ht="39.75" customHeight="1" x14ac:dyDescent="0.25">
      <c r="A13" s="19">
        <v>5</v>
      </c>
      <c r="B13" s="20" t="s">
        <v>10</v>
      </c>
      <c r="C13" s="4"/>
      <c r="D13" s="5">
        <f t="shared" si="1"/>
        <v>858.10617397999999</v>
      </c>
      <c r="E13" s="5">
        <v>737</v>
      </c>
      <c r="F13" s="5">
        <v>121.10617397999999</v>
      </c>
      <c r="G13" s="5"/>
      <c r="H13" s="5"/>
      <c r="I13" s="5">
        <f t="shared" si="2"/>
        <v>0</v>
      </c>
      <c r="J13" s="11"/>
      <c r="K13" s="13"/>
      <c r="L13" s="11"/>
      <c r="M13" s="6">
        <f t="shared" si="3"/>
        <v>858.10617397999999</v>
      </c>
      <c r="N13" s="4"/>
      <c r="O13" s="5">
        <f t="shared" si="4"/>
        <v>508.83572927</v>
      </c>
      <c r="P13" s="5">
        <v>387</v>
      </c>
      <c r="Q13" s="5">
        <v>121.83572927</v>
      </c>
      <c r="R13" s="5"/>
      <c r="S13" s="5"/>
      <c r="T13" s="5">
        <f t="shared" si="5"/>
        <v>0</v>
      </c>
      <c r="U13" s="11"/>
      <c r="V13" s="11"/>
      <c r="W13" s="11"/>
      <c r="X13" s="6">
        <f t="shared" si="6"/>
        <v>508.83572927</v>
      </c>
      <c r="Z13" s="31">
        <v>0</v>
      </c>
      <c r="AA13" s="31">
        <v>0</v>
      </c>
      <c r="AB13" s="26"/>
      <c r="AC13" s="33"/>
      <c r="AD13" s="34"/>
      <c r="AF13" s="26"/>
      <c r="AH13" s="34"/>
    </row>
    <row r="14" spans="1:34" s="32" customFormat="1" ht="39.75" customHeight="1" x14ac:dyDescent="0.25">
      <c r="A14" s="19">
        <v>6</v>
      </c>
      <c r="B14" s="20" t="s">
        <v>11</v>
      </c>
      <c r="C14" s="4"/>
      <c r="D14" s="5">
        <f t="shared" si="1"/>
        <v>168.31535074999999</v>
      </c>
      <c r="E14" s="5">
        <v>100</v>
      </c>
      <c r="F14" s="5">
        <v>68.315350749999993</v>
      </c>
      <c r="G14" s="5"/>
      <c r="H14" s="5"/>
      <c r="I14" s="5">
        <f t="shared" si="2"/>
        <v>166.1</v>
      </c>
      <c r="J14" s="11">
        <v>166.1</v>
      </c>
      <c r="K14" s="14"/>
      <c r="L14" s="11"/>
      <c r="M14" s="6">
        <f t="shared" si="3"/>
        <v>2.2153507499999989</v>
      </c>
      <c r="N14" s="4"/>
      <c r="O14" s="5">
        <f t="shared" si="4"/>
        <v>590.7268889799999</v>
      </c>
      <c r="P14" s="5">
        <v>522</v>
      </c>
      <c r="Q14" s="5">
        <v>68.726888979999899</v>
      </c>
      <c r="R14" s="5"/>
      <c r="S14" s="5"/>
      <c r="T14" s="5">
        <f t="shared" si="5"/>
        <v>396.1</v>
      </c>
      <c r="U14" s="11">
        <v>396.1</v>
      </c>
      <c r="V14" s="11"/>
      <c r="W14" s="11"/>
      <c r="X14" s="6">
        <f t="shared" si="6"/>
        <v>194.62688897999988</v>
      </c>
      <c r="Z14" s="31">
        <v>0</v>
      </c>
      <c r="AA14" s="31">
        <v>0</v>
      </c>
      <c r="AB14" s="26"/>
      <c r="AC14" s="33"/>
      <c r="AD14" s="34"/>
      <c r="AF14" s="26"/>
      <c r="AH14" s="34"/>
    </row>
    <row r="15" spans="1:34" s="32" customFormat="1" ht="39.75" customHeight="1" x14ac:dyDescent="0.25">
      <c r="A15" s="19">
        <v>7</v>
      </c>
      <c r="B15" s="20" t="s">
        <v>12</v>
      </c>
      <c r="C15" s="4"/>
      <c r="D15" s="5">
        <f t="shared" si="1"/>
        <v>446.48841886000002</v>
      </c>
      <c r="E15" s="5">
        <v>364</v>
      </c>
      <c r="F15" s="5">
        <v>82.488418860000024</v>
      </c>
      <c r="G15" s="5"/>
      <c r="H15" s="5"/>
      <c r="I15" s="5">
        <f t="shared" si="2"/>
        <v>415.8</v>
      </c>
      <c r="J15" s="11">
        <v>415.8</v>
      </c>
      <c r="K15" s="13"/>
      <c r="L15" s="11"/>
      <c r="M15" s="6">
        <f t="shared" si="3"/>
        <v>30.688418860000013</v>
      </c>
      <c r="N15" s="4"/>
      <c r="O15" s="5">
        <f t="shared" si="4"/>
        <v>396.98533700999997</v>
      </c>
      <c r="P15" s="5">
        <v>314</v>
      </c>
      <c r="Q15" s="5">
        <v>82.985337009999967</v>
      </c>
      <c r="R15" s="5"/>
      <c r="S15" s="5"/>
      <c r="T15" s="5">
        <f t="shared" si="5"/>
        <v>369.4</v>
      </c>
      <c r="U15" s="11">
        <v>369.4</v>
      </c>
      <c r="V15" s="11"/>
      <c r="W15" s="11"/>
      <c r="X15" s="6">
        <f t="shared" si="6"/>
        <v>27.585337009999989</v>
      </c>
      <c r="Z15" s="31">
        <v>0</v>
      </c>
      <c r="AA15" s="31">
        <v>0</v>
      </c>
      <c r="AB15" s="26"/>
      <c r="AC15" s="33"/>
      <c r="AD15" s="34"/>
      <c r="AF15" s="26"/>
      <c r="AH15" s="34"/>
    </row>
    <row r="16" spans="1:34" s="32" customFormat="1" ht="39.75" customHeight="1" x14ac:dyDescent="0.25">
      <c r="A16" s="19">
        <v>8</v>
      </c>
      <c r="B16" s="20" t="s">
        <v>13</v>
      </c>
      <c r="C16" s="4"/>
      <c r="D16" s="5">
        <f t="shared" si="1"/>
        <v>367.92964738000001</v>
      </c>
      <c r="E16" s="5">
        <v>314</v>
      </c>
      <c r="F16" s="5">
        <v>53.929647380000006</v>
      </c>
      <c r="G16" s="5"/>
      <c r="H16" s="5"/>
      <c r="I16" s="5">
        <f t="shared" si="2"/>
        <v>33.700000000000003</v>
      </c>
      <c r="J16" s="11">
        <v>33.700000000000003</v>
      </c>
      <c r="K16" s="13"/>
      <c r="L16" s="11"/>
      <c r="M16" s="6">
        <f>+C16+D16-I16</f>
        <v>334.22964738000002</v>
      </c>
      <c r="N16" s="4"/>
      <c r="O16" s="5">
        <f t="shared" si="4"/>
        <v>368.25452478</v>
      </c>
      <c r="P16" s="5">
        <v>314</v>
      </c>
      <c r="Q16" s="5">
        <v>54.254524779999997</v>
      </c>
      <c r="R16" s="5"/>
      <c r="S16" s="5"/>
      <c r="T16" s="5">
        <f t="shared" si="5"/>
        <v>32.1</v>
      </c>
      <c r="U16" s="11">
        <v>32.1</v>
      </c>
      <c r="V16" s="11"/>
      <c r="W16" s="11"/>
      <c r="X16" s="6">
        <f t="shared" si="6"/>
        <v>336.15452477999997</v>
      </c>
      <c r="Z16" s="31">
        <v>0</v>
      </c>
      <c r="AA16" s="31">
        <v>0</v>
      </c>
      <c r="AB16" s="26"/>
      <c r="AC16" s="33"/>
      <c r="AD16" s="34"/>
      <c r="AF16" s="26"/>
      <c r="AH16" s="34"/>
    </row>
    <row r="17" spans="1:34" s="32" customFormat="1" ht="39.75" customHeight="1" x14ac:dyDescent="0.25">
      <c r="A17" s="19">
        <v>9</v>
      </c>
      <c r="B17" s="20" t="s">
        <v>14</v>
      </c>
      <c r="C17" s="4"/>
      <c r="D17" s="5">
        <f t="shared" si="1"/>
        <v>272.88420076</v>
      </c>
      <c r="E17" s="5">
        <v>228</v>
      </c>
      <c r="F17" s="5">
        <v>44.884200759999999</v>
      </c>
      <c r="G17" s="5"/>
      <c r="H17" s="5"/>
      <c r="I17" s="5">
        <f t="shared" si="2"/>
        <v>272.7</v>
      </c>
      <c r="J17" s="11">
        <v>272.7</v>
      </c>
      <c r="K17" s="14"/>
      <c r="L17" s="11"/>
      <c r="M17" s="6">
        <f t="shared" si="3"/>
        <v>0.18420076000001018</v>
      </c>
      <c r="N17" s="4"/>
      <c r="O17" s="5">
        <f t="shared" si="4"/>
        <v>373.15458753000001</v>
      </c>
      <c r="P17" s="5">
        <v>328</v>
      </c>
      <c r="Q17" s="5">
        <v>45.154587530000015</v>
      </c>
      <c r="R17" s="5"/>
      <c r="S17" s="5"/>
      <c r="T17" s="5">
        <f t="shared" si="5"/>
        <v>373</v>
      </c>
      <c r="U17" s="11">
        <v>373</v>
      </c>
      <c r="V17" s="11"/>
      <c r="W17" s="11"/>
      <c r="X17" s="6">
        <f t="shared" si="6"/>
        <v>0.15458753000001479</v>
      </c>
      <c r="Z17" s="31">
        <v>3.3</v>
      </c>
      <c r="AA17" s="31">
        <v>0</v>
      </c>
      <c r="AB17" s="26"/>
      <c r="AC17" s="33"/>
      <c r="AD17" s="34"/>
      <c r="AF17" s="26"/>
      <c r="AH17" s="34"/>
    </row>
    <row r="18" spans="1:34" s="32" customFormat="1" ht="39.75" customHeight="1" x14ac:dyDescent="0.25">
      <c r="A18" s="19">
        <v>10</v>
      </c>
      <c r="B18" s="20" t="s">
        <v>15</v>
      </c>
      <c r="C18" s="4"/>
      <c r="D18" s="5">
        <f t="shared" si="1"/>
        <v>214.68770286</v>
      </c>
      <c r="E18" s="5">
        <v>189</v>
      </c>
      <c r="F18" s="5">
        <v>25.687702860000002</v>
      </c>
      <c r="G18" s="5"/>
      <c r="H18" s="5"/>
      <c r="I18" s="5">
        <f t="shared" si="2"/>
        <v>100.2</v>
      </c>
      <c r="J18" s="11">
        <v>100.2</v>
      </c>
      <c r="K18" s="13"/>
      <c r="L18" s="11"/>
      <c r="M18" s="6">
        <f t="shared" si="3"/>
        <v>114.48770286</v>
      </c>
      <c r="N18" s="4"/>
      <c r="O18" s="5">
        <f t="shared" si="4"/>
        <v>214.84244804000002</v>
      </c>
      <c r="P18" s="5">
        <v>189</v>
      </c>
      <c r="Q18" s="5">
        <v>25.842448040000022</v>
      </c>
      <c r="R18" s="5"/>
      <c r="S18" s="5"/>
      <c r="T18" s="5">
        <f t="shared" si="5"/>
        <v>136.6</v>
      </c>
      <c r="U18" s="11">
        <v>136.6</v>
      </c>
      <c r="V18" s="11"/>
      <c r="W18" s="11"/>
      <c r="X18" s="6">
        <f t="shared" si="6"/>
        <v>78.242448040000028</v>
      </c>
      <c r="Z18" s="31">
        <v>0</v>
      </c>
      <c r="AA18" s="31">
        <v>0</v>
      </c>
      <c r="AB18" s="26"/>
      <c r="AC18" s="33"/>
      <c r="AD18" s="34"/>
      <c r="AF18" s="26"/>
      <c r="AH18" s="34"/>
    </row>
    <row r="19" spans="1:34" s="32" customFormat="1" ht="39.75" customHeight="1" x14ac:dyDescent="0.25">
      <c r="A19" s="19">
        <v>11</v>
      </c>
      <c r="B19" s="20" t="s">
        <v>16</v>
      </c>
      <c r="C19" s="4"/>
      <c r="D19" s="5">
        <f t="shared" si="1"/>
        <v>276.99222829000001</v>
      </c>
      <c r="E19" s="5">
        <v>230</v>
      </c>
      <c r="F19" s="5">
        <v>46.992228290000014</v>
      </c>
      <c r="G19" s="5"/>
      <c r="H19" s="5"/>
      <c r="I19" s="5">
        <f t="shared" si="2"/>
        <v>4.4000000000000004</v>
      </c>
      <c r="J19" s="11">
        <v>4.4000000000000004</v>
      </c>
      <c r="K19" s="13"/>
      <c r="L19" s="11"/>
      <c r="M19" s="6">
        <f t="shared" si="3"/>
        <v>272.59222829000004</v>
      </c>
      <c r="N19" s="4"/>
      <c r="O19" s="5">
        <f t="shared" si="4"/>
        <v>327.27531400999999</v>
      </c>
      <c r="P19" s="5">
        <v>280</v>
      </c>
      <c r="Q19" s="5">
        <v>47.275314009999988</v>
      </c>
      <c r="R19" s="5"/>
      <c r="S19" s="5"/>
      <c r="T19" s="5">
        <f t="shared" si="5"/>
        <v>26.6</v>
      </c>
      <c r="U19" s="11">
        <v>26.6</v>
      </c>
      <c r="V19" s="11"/>
      <c r="W19" s="11"/>
      <c r="X19" s="6">
        <f t="shared" si="6"/>
        <v>300.67531400999997</v>
      </c>
      <c r="Z19" s="31">
        <v>0</v>
      </c>
      <c r="AA19" s="31">
        <v>0</v>
      </c>
      <c r="AB19" s="26"/>
      <c r="AC19" s="33"/>
      <c r="AD19" s="34"/>
      <c r="AF19" s="26"/>
      <c r="AH19" s="34"/>
    </row>
    <row r="20" spans="1:34" s="32" customFormat="1" ht="39.75" customHeight="1" x14ac:dyDescent="0.25">
      <c r="A20" s="19">
        <v>12</v>
      </c>
      <c r="B20" s="20" t="s">
        <v>17</v>
      </c>
      <c r="C20" s="4"/>
      <c r="D20" s="5">
        <f t="shared" si="1"/>
        <v>366.67777042</v>
      </c>
      <c r="E20" s="5">
        <v>336</v>
      </c>
      <c r="F20" s="5">
        <v>30.677770420000002</v>
      </c>
      <c r="G20" s="5"/>
      <c r="H20" s="5"/>
      <c r="I20" s="5">
        <f t="shared" si="2"/>
        <v>100</v>
      </c>
      <c r="J20" s="11">
        <v>100</v>
      </c>
      <c r="K20" s="13"/>
      <c r="L20" s="11"/>
      <c r="M20" s="6">
        <f t="shared" si="3"/>
        <v>266.67777042</v>
      </c>
      <c r="N20" s="4"/>
      <c r="O20" s="5">
        <f t="shared" si="4"/>
        <v>365.86257627000003</v>
      </c>
      <c r="P20" s="5">
        <v>335</v>
      </c>
      <c r="Q20" s="5">
        <v>30.862576270000034</v>
      </c>
      <c r="R20" s="5"/>
      <c r="S20" s="5"/>
      <c r="T20" s="5">
        <f t="shared" si="5"/>
        <v>100</v>
      </c>
      <c r="U20" s="11">
        <v>100</v>
      </c>
      <c r="V20" s="11"/>
      <c r="W20" s="11"/>
      <c r="X20" s="6">
        <f t="shared" si="6"/>
        <v>265.86257627000003</v>
      </c>
      <c r="Z20" s="31">
        <v>100</v>
      </c>
      <c r="AA20" s="31">
        <v>100</v>
      </c>
      <c r="AB20" s="26"/>
      <c r="AC20" s="33"/>
      <c r="AD20" s="34"/>
      <c r="AF20" s="26"/>
      <c r="AH20" s="34"/>
    </row>
    <row r="21" spans="1:34" s="32" customFormat="1" ht="39.75" customHeight="1" thickBot="1" x14ac:dyDescent="0.3">
      <c r="A21" s="21">
        <v>13</v>
      </c>
      <c r="B21" s="22" t="s">
        <v>18</v>
      </c>
      <c r="C21" s="7"/>
      <c r="D21" s="8">
        <f t="shared" si="1"/>
        <v>208.07477865999999</v>
      </c>
      <c r="E21" s="8">
        <v>198</v>
      </c>
      <c r="F21" s="8">
        <v>10.074778659999993</v>
      </c>
      <c r="G21" s="8"/>
      <c r="H21" s="8"/>
      <c r="I21" s="8">
        <f t="shared" si="2"/>
        <v>88.3</v>
      </c>
      <c r="J21" s="12">
        <v>88.3</v>
      </c>
      <c r="K21" s="15"/>
      <c r="L21" s="12"/>
      <c r="M21" s="9">
        <f t="shared" si="3"/>
        <v>119.77477866</v>
      </c>
      <c r="N21" s="7"/>
      <c r="O21" s="8">
        <f t="shared" si="4"/>
        <v>208.13547012000001</v>
      </c>
      <c r="P21" s="8">
        <v>198</v>
      </c>
      <c r="Q21" s="8">
        <v>10.135470120000008</v>
      </c>
      <c r="R21" s="8"/>
      <c r="S21" s="8"/>
      <c r="T21" s="8">
        <f t="shared" si="5"/>
        <v>111.4</v>
      </c>
      <c r="U21" s="12">
        <v>111.4</v>
      </c>
      <c r="V21" s="12"/>
      <c r="W21" s="12"/>
      <c r="X21" s="9">
        <f t="shared" si="6"/>
        <v>96.735470120000002</v>
      </c>
      <c r="Z21" s="31"/>
      <c r="AA21" s="31"/>
      <c r="AB21" s="26"/>
      <c r="AC21" s="33"/>
      <c r="AD21" s="34"/>
      <c r="AF21" s="26"/>
      <c r="AH21" s="34"/>
    </row>
    <row r="23" spans="1:34" x14ac:dyDescent="0.25">
      <c r="D23" s="33"/>
      <c r="E23" s="33"/>
      <c r="F23" s="33"/>
      <c r="G23" s="33"/>
      <c r="H23" s="33"/>
    </row>
  </sheetData>
  <mergeCells count="22">
    <mergeCell ref="A1:X1"/>
    <mergeCell ref="B2:X2"/>
    <mergeCell ref="T3:X3"/>
    <mergeCell ref="C4:M4"/>
    <mergeCell ref="A7:B7"/>
    <mergeCell ref="E5:H5"/>
    <mergeCell ref="I5:I6"/>
    <mergeCell ref="A3:B3"/>
    <mergeCell ref="A4:A6"/>
    <mergeCell ref="B4:B6"/>
    <mergeCell ref="C5:C6"/>
    <mergeCell ref="D5:D6"/>
    <mergeCell ref="Z5:AA5"/>
    <mergeCell ref="N4:X4"/>
    <mergeCell ref="J5:L5"/>
    <mergeCell ref="O5:O6"/>
    <mergeCell ref="P5:S5"/>
    <mergeCell ref="T5:T6"/>
    <mergeCell ref="U5:W5"/>
    <mergeCell ref="X5:X6"/>
    <mergeCell ref="M5:M6"/>
    <mergeCell ref="N5:N6"/>
  </mergeCells>
  <printOptions horizontalCentered="1"/>
  <pageMargins left="0" right="0" top="0" bottom="0" header="0" footer="0"/>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5"/>
  <sheetViews>
    <sheetView view="pageBreakPreview" zoomScale="70" zoomScaleSheetLayoutView="70" workbookViewId="0">
      <pane xSplit="2" ySplit="7" topLeftCell="C8" activePane="bottomRight" state="frozen"/>
      <selection pane="topRight" activeCell="C1" sqref="C1"/>
      <selection pane="bottomLeft" activeCell="A8" sqref="A8"/>
      <selection pane="bottomRight" activeCell="C11" sqref="C11"/>
    </sheetView>
  </sheetViews>
  <sheetFormatPr defaultRowHeight="18.75" outlineLevelCol="1" x14ac:dyDescent="0.25"/>
  <cols>
    <col min="1" max="1" width="6.140625" style="16" customWidth="1"/>
    <col min="2" max="2" width="28.7109375" style="16" customWidth="1"/>
    <col min="3" max="4" width="17" style="16" customWidth="1"/>
    <col min="5" max="8" width="17" style="16" customWidth="1" outlineLevel="1"/>
    <col min="9" max="9" width="17" style="16" customWidth="1"/>
    <col min="10" max="10" width="17" style="34" customWidth="1" outlineLevel="1"/>
    <col min="11" max="12" width="17" style="16" customWidth="1" outlineLevel="1"/>
    <col min="13" max="15" width="17.7109375" style="16" customWidth="1"/>
    <col min="16" max="19" width="17.7109375" style="16" hidden="1" customWidth="1" outlineLevel="1"/>
    <col min="20" max="20" width="17.7109375" style="16" customWidth="1" collapsed="1"/>
    <col min="21" max="21" width="17.7109375" style="34" hidden="1" customWidth="1" outlineLevel="1"/>
    <col min="22" max="22" width="17.7109375" style="16" hidden="1" customWidth="1" outlineLevel="1"/>
    <col min="23" max="27" width="17.7109375" style="34" hidden="1" customWidth="1" outlineLevel="1"/>
    <col min="28" max="28" width="17.7109375" style="16" hidden="1" customWidth="1" outlineLevel="1"/>
    <col min="29" max="32" width="17.7109375" style="34" hidden="1" customWidth="1" outlineLevel="1"/>
    <col min="33" max="33" width="17.7109375" style="16" customWidth="1" collapsed="1"/>
    <col min="34" max="34" width="17.85546875" style="16" customWidth="1"/>
    <col min="35" max="35" width="16.28515625" style="27" hidden="1" customWidth="1"/>
    <col min="36" max="36" width="17.28515625" style="27" hidden="1" customWidth="1"/>
    <col min="37" max="37" width="17.85546875" style="16" hidden="1" customWidth="1"/>
    <col min="38" max="38" width="17.85546875" style="16" customWidth="1"/>
    <col min="39" max="39" width="21" style="16" bestFit="1" customWidth="1"/>
    <col min="40" max="40" width="12" style="16" bestFit="1" customWidth="1"/>
    <col min="41" max="41" width="19.140625" style="16" bestFit="1" customWidth="1"/>
    <col min="42" max="42" width="10.7109375" style="16" bestFit="1" customWidth="1"/>
    <col min="43" max="43" width="12.140625" style="16" hidden="1" customWidth="1"/>
    <col min="44" max="44" width="10" style="16" bestFit="1" customWidth="1"/>
    <col min="45" max="16384" width="9.140625" style="16"/>
  </cols>
  <sheetData>
    <row r="1" spans="1:44" ht="60" customHeight="1" x14ac:dyDescent="0.25">
      <c r="A1" s="616" t="s">
        <v>86</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23"/>
      <c r="AI1" s="24"/>
      <c r="AJ1" s="24"/>
    </row>
    <row r="2" spans="1:44" ht="23.25" customHeight="1" x14ac:dyDescent="0.25">
      <c r="A2" s="23"/>
      <c r="B2" s="617" t="s">
        <v>19</v>
      </c>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23"/>
      <c r="AI2" s="24"/>
      <c r="AJ2" s="24"/>
    </row>
    <row r="3" spans="1:44" ht="20.25" thickBot="1" x14ac:dyDescent="0.3">
      <c r="A3" s="618" t="s">
        <v>114</v>
      </c>
      <c r="B3" s="618"/>
      <c r="C3" s="25"/>
      <c r="M3" s="26"/>
      <c r="T3" s="618" t="s">
        <v>59</v>
      </c>
      <c r="U3" s="618"/>
      <c r="V3" s="618"/>
      <c r="W3" s="618"/>
      <c r="X3" s="618"/>
      <c r="Y3" s="618"/>
      <c r="Z3" s="618"/>
      <c r="AA3" s="618"/>
      <c r="AB3" s="618"/>
      <c r="AC3" s="618"/>
      <c r="AD3" s="618"/>
      <c r="AE3" s="618"/>
      <c r="AF3" s="618"/>
      <c r="AG3" s="618"/>
    </row>
    <row r="4" spans="1:44" ht="31.5" customHeight="1" x14ac:dyDescent="0.25">
      <c r="A4" s="619" t="s">
        <v>0</v>
      </c>
      <c r="B4" s="622" t="s">
        <v>4</v>
      </c>
      <c r="C4" s="619" t="s">
        <v>2</v>
      </c>
      <c r="D4" s="623"/>
      <c r="E4" s="623"/>
      <c r="F4" s="623"/>
      <c r="G4" s="623"/>
      <c r="H4" s="623"/>
      <c r="I4" s="623"/>
      <c r="J4" s="625"/>
      <c r="K4" s="625"/>
      <c r="L4" s="625"/>
      <c r="M4" s="622"/>
      <c r="N4" s="619" t="s">
        <v>1</v>
      </c>
      <c r="O4" s="623"/>
      <c r="P4" s="623"/>
      <c r="Q4" s="623"/>
      <c r="R4" s="623"/>
      <c r="S4" s="623"/>
      <c r="T4" s="623"/>
      <c r="U4" s="625"/>
      <c r="V4" s="625"/>
      <c r="W4" s="625"/>
      <c r="X4" s="625"/>
      <c r="Y4" s="625"/>
      <c r="Z4" s="625"/>
      <c r="AA4" s="625"/>
      <c r="AB4" s="625"/>
      <c r="AC4" s="625"/>
      <c r="AD4" s="625"/>
      <c r="AE4" s="625"/>
      <c r="AF4" s="625"/>
      <c r="AG4" s="622"/>
    </row>
    <row r="5" spans="1:44" ht="25.5" customHeight="1" x14ac:dyDescent="0.25">
      <c r="A5" s="620"/>
      <c r="B5" s="612"/>
      <c r="C5" s="614" t="s">
        <v>62</v>
      </c>
      <c r="D5" s="610" t="s">
        <v>66</v>
      </c>
      <c r="E5" s="608" t="s">
        <v>5</v>
      </c>
      <c r="F5" s="609"/>
      <c r="G5" s="609"/>
      <c r="H5" s="629"/>
      <c r="I5" s="630" t="s">
        <v>65</v>
      </c>
      <c r="J5" s="626" t="s">
        <v>5</v>
      </c>
      <c r="K5" s="627"/>
      <c r="L5" s="628"/>
      <c r="M5" s="632" t="s">
        <v>113</v>
      </c>
      <c r="N5" s="614" t="s">
        <v>62</v>
      </c>
      <c r="O5" s="610" t="s">
        <v>66</v>
      </c>
      <c r="P5" s="608" t="s">
        <v>5</v>
      </c>
      <c r="Q5" s="609"/>
      <c r="R5" s="609"/>
      <c r="S5" s="629"/>
      <c r="T5" s="630" t="s">
        <v>65</v>
      </c>
      <c r="U5" s="608" t="s">
        <v>5</v>
      </c>
      <c r="V5" s="609"/>
      <c r="W5" s="609"/>
      <c r="X5" s="609"/>
      <c r="Y5" s="609"/>
      <c r="Z5" s="609"/>
      <c r="AA5" s="609"/>
      <c r="AB5" s="609"/>
      <c r="AC5" s="609"/>
      <c r="AD5" s="609"/>
      <c r="AE5" s="609"/>
      <c r="AF5" s="629"/>
      <c r="AG5" s="632" t="s">
        <v>113</v>
      </c>
      <c r="AI5" s="624" t="s">
        <v>58</v>
      </c>
      <c r="AJ5" s="624"/>
    </row>
    <row r="6" spans="1:44" ht="75" customHeight="1" thickBot="1" x14ac:dyDescent="0.3">
      <c r="A6" s="621"/>
      <c r="B6" s="613"/>
      <c r="C6" s="615"/>
      <c r="D6" s="611"/>
      <c r="E6" s="36" t="s">
        <v>68</v>
      </c>
      <c r="F6" s="17" t="s">
        <v>63</v>
      </c>
      <c r="G6" s="36" t="s">
        <v>67</v>
      </c>
      <c r="H6" s="36" t="s">
        <v>64</v>
      </c>
      <c r="I6" s="631"/>
      <c r="J6" s="18" t="s">
        <v>73</v>
      </c>
      <c r="K6" s="18" t="s">
        <v>74</v>
      </c>
      <c r="L6" s="36" t="s">
        <v>69</v>
      </c>
      <c r="M6" s="633"/>
      <c r="N6" s="615"/>
      <c r="O6" s="611"/>
      <c r="P6" s="36" t="s">
        <v>68</v>
      </c>
      <c r="Q6" s="17" t="s">
        <v>63</v>
      </c>
      <c r="R6" s="36" t="s">
        <v>67</v>
      </c>
      <c r="S6" s="36" t="s">
        <v>64</v>
      </c>
      <c r="T6" s="631"/>
      <c r="U6" s="18" t="s">
        <v>73</v>
      </c>
      <c r="V6" s="18" t="s">
        <v>74</v>
      </c>
      <c r="W6" s="18" t="s">
        <v>82</v>
      </c>
      <c r="X6" s="18" t="s">
        <v>83</v>
      </c>
      <c r="Y6" s="18" t="s">
        <v>84</v>
      </c>
      <c r="Z6" s="18" t="s">
        <v>87</v>
      </c>
      <c r="AA6" s="18" t="s">
        <v>89</v>
      </c>
      <c r="AB6" s="18" t="s">
        <v>88</v>
      </c>
      <c r="AC6" s="101" t="s">
        <v>91</v>
      </c>
      <c r="AD6" s="101" t="s">
        <v>103</v>
      </c>
      <c r="AE6" s="18" t="s">
        <v>90</v>
      </c>
      <c r="AF6" s="18" t="s">
        <v>104</v>
      </c>
      <c r="AG6" s="633"/>
      <c r="AI6" s="28" t="s">
        <v>56</v>
      </c>
      <c r="AJ6" s="28" t="s">
        <v>57</v>
      </c>
      <c r="AM6" s="34"/>
      <c r="AN6" s="34"/>
      <c r="AQ6" s="16" t="s">
        <v>112</v>
      </c>
    </row>
    <row r="7" spans="1:44" ht="39.75" customHeight="1" thickBot="1" x14ac:dyDescent="0.3">
      <c r="A7" s="606" t="s">
        <v>3</v>
      </c>
      <c r="B7" s="607"/>
      <c r="C7" s="75">
        <f t="shared" ref="C7:Z7" si="0">SUM(C9:C21)</f>
        <v>2880.2074119899994</v>
      </c>
      <c r="D7" s="76">
        <f t="shared" si="0"/>
        <v>13917.022863500002</v>
      </c>
      <c r="E7" s="76">
        <f>SUM(E9:E21)</f>
        <v>7373.0749999999998</v>
      </c>
      <c r="F7" s="76">
        <f>SUM(F9:F21)</f>
        <v>6417.4478634999996</v>
      </c>
      <c r="G7" s="76">
        <f t="shared" si="0"/>
        <v>0</v>
      </c>
      <c r="H7" s="76">
        <f t="shared" si="0"/>
        <v>126.5</v>
      </c>
      <c r="I7" s="76">
        <f>SUM(I9:I21)</f>
        <v>15067.635379849999</v>
      </c>
      <c r="J7" s="77">
        <f>SUM(J9:J21)</f>
        <v>0</v>
      </c>
      <c r="K7" s="77">
        <f t="shared" si="0"/>
        <v>483.89999999999992</v>
      </c>
      <c r="L7" s="77">
        <f t="shared" si="0"/>
        <v>14583.735379849999</v>
      </c>
      <c r="M7" s="78">
        <f t="shared" si="0"/>
        <v>1729.5948956400005</v>
      </c>
      <c r="N7" s="75">
        <f t="shared" si="0"/>
        <v>2370.8225169900002</v>
      </c>
      <c r="O7" s="76">
        <f t="shared" si="0"/>
        <v>12787.114352339997</v>
      </c>
      <c r="P7" s="76">
        <f t="shared" si="0"/>
        <v>6219.8165799999997</v>
      </c>
      <c r="Q7" s="76">
        <f t="shared" si="0"/>
        <v>6456.097772340001</v>
      </c>
      <c r="R7" s="76">
        <f t="shared" si="0"/>
        <v>0</v>
      </c>
      <c r="S7" s="76">
        <f>SUM(S9:S21)</f>
        <v>111.2</v>
      </c>
      <c r="T7" s="76">
        <f t="shared" si="0"/>
        <v>11316.453286599999</v>
      </c>
      <c r="U7" s="77">
        <f t="shared" si="0"/>
        <v>0</v>
      </c>
      <c r="V7" s="77">
        <f t="shared" si="0"/>
        <v>670.44999999999993</v>
      </c>
      <c r="W7" s="77">
        <f t="shared" si="0"/>
        <v>884.91500000000008</v>
      </c>
      <c r="X7" s="77">
        <f t="shared" si="0"/>
        <v>973.74000000000012</v>
      </c>
      <c r="Y7" s="77">
        <f t="shared" si="0"/>
        <v>696.53499999999997</v>
      </c>
      <c r="Z7" s="77">
        <f t="shared" si="0"/>
        <v>248.82</v>
      </c>
      <c r="AA7" s="77">
        <f>SUM(AA9:AA21)</f>
        <v>1444.2425320000002</v>
      </c>
      <c r="AB7" s="77">
        <f t="shared" ref="AB7:AG7" si="1">SUM(AB9:AB21)</f>
        <v>1131.0800000000002</v>
      </c>
      <c r="AC7" s="77">
        <f t="shared" si="1"/>
        <v>501.35</v>
      </c>
      <c r="AD7" s="77">
        <f t="shared" si="1"/>
        <v>1041.1990000000001</v>
      </c>
      <c r="AE7" s="77">
        <f t="shared" si="1"/>
        <v>3426.2674175999996</v>
      </c>
      <c r="AF7" s="77">
        <f t="shared" si="1"/>
        <v>297.85433699999999</v>
      </c>
      <c r="AG7" s="78">
        <f t="shared" si="1"/>
        <v>3841.4835827299994</v>
      </c>
      <c r="AI7" s="29">
        <f>SUM(AI9:AI20)</f>
        <v>0</v>
      </c>
      <c r="AJ7" s="29">
        <f>SUM(AJ9:AJ20)</f>
        <v>0</v>
      </c>
      <c r="AK7" s="26"/>
      <c r="AL7" s="34"/>
      <c r="AM7" s="26"/>
      <c r="AN7" s="26"/>
    </row>
    <row r="8" spans="1:44" s="34" customFormat="1" ht="21" thickBot="1" x14ac:dyDescent="0.3">
      <c r="A8" s="241"/>
      <c r="B8" s="242"/>
      <c r="C8" s="253"/>
      <c r="D8" s="254"/>
      <c r="E8" s="254"/>
      <c r="F8" s="254"/>
      <c r="G8" s="254"/>
      <c r="H8" s="254"/>
      <c r="I8" s="254"/>
      <c r="J8" s="255"/>
      <c r="K8" s="255"/>
      <c r="L8" s="255"/>
      <c r="M8" s="256"/>
      <c r="N8" s="253"/>
      <c r="O8" s="254"/>
      <c r="P8" s="254"/>
      <c r="Q8" s="254"/>
      <c r="R8" s="254"/>
      <c r="S8" s="254"/>
      <c r="T8" s="254"/>
      <c r="U8" s="255"/>
      <c r="V8" s="255"/>
      <c r="W8" s="255"/>
      <c r="X8" s="255"/>
      <c r="Y8" s="255"/>
      <c r="Z8" s="255"/>
      <c r="AA8" s="255"/>
      <c r="AB8" s="255"/>
      <c r="AC8" s="255"/>
      <c r="AD8" s="255"/>
      <c r="AE8" s="255"/>
      <c r="AF8" s="255"/>
      <c r="AG8" s="256"/>
      <c r="AI8" s="29"/>
      <c r="AJ8" s="29"/>
      <c r="AK8" s="26"/>
      <c r="AM8" s="26"/>
      <c r="AN8" s="26"/>
    </row>
    <row r="9" spans="1:44" s="32" customFormat="1" ht="39.75" customHeight="1" x14ac:dyDescent="0.25">
      <c r="A9" s="37">
        <v>1</v>
      </c>
      <c r="B9" s="38" t="s">
        <v>6</v>
      </c>
      <c r="C9" s="79">
        <v>412.45237663999995</v>
      </c>
      <c r="D9" s="80">
        <f>+E9+F9+G9+H9</f>
        <v>1629.5604664000002</v>
      </c>
      <c r="E9" s="80">
        <v>100</v>
      </c>
      <c r="F9" s="80">
        <v>1506.3604664000002</v>
      </c>
      <c r="G9" s="80"/>
      <c r="H9" s="80">
        <v>23.2</v>
      </c>
      <c r="I9" s="80">
        <f>+K9+L9+J9</f>
        <v>1850.1972485400001</v>
      </c>
      <c r="J9" s="81"/>
      <c r="K9" s="82">
        <v>50.5</v>
      </c>
      <c r="L9" s="81">
        <v>1799.6972485400001</v>
      </c>
      <c r="M9" s="83">
        <f>+C9+D9-I9</f>
        <v>191.81559450000009</v>
      </c>
      <c r="N9" s="79">
        <v>37.452089759999922</v>
      </c>
      <c r="O9" s="80">
        <f>+P9+Q9+R9+S9</f>
        <v>1898.9721186700001</v>
      </c>
      <c r="P9" s="80">
        <v>372.44657999999998</v>
      </c>
      <c r="Q9" s="80">
        <v>1515.4255386700002</v>
      </c>
      <c r="R9" s="80"/>
      <c r="S9" s="80">
        <v>11.1</v>
      </c>
      <c r="T9" s="80">
        <f>SUM(U9:AF9)</f>
        <v>1386.0112420000003</v>
      </c>
      <c r="U9" s="81"/>
      <c r="V9" s="81">
        <v>82.6</v>
      </c>
      <c r="W9" s="81">
        <f>103.88-3.92</f>
        <v>99.96</v>
      </c>
      <c r="X9" s="81">
        <f>90.16+0.98</f>
        <v>91.14</v>
      </c>
      <c r="Y9" s="81">
        <f>75.46-0.49</f>
        <v>74.97</v>
      </c>
      <c r="Z9" s="81"/>
      <c r="AA9" s="81">
        <v>252.2</v>
      </c>
      <c r="AB9" s="81">
        <f>85-3</f>
        <v>82</v>
      </c>
      <c r="AC9" s="81"/>
      <c r="AD9" s="81">
        <f>94.688-40.619</f>
        <v>54.069000000000003</v>
      </c>
      <c r="AE9" s="81">
        <v>366.56590500000027</v>
      </c>
      <c r="AF9" s="81">
        <v>282.50633699999997</v>
      </c>
      <c r="AG9" s="83">
        <f>+N9+O9-T9</f>
        <v>550.41296642999964</v>
      </c>
      <c r="AH9" s="30"/>
      <c r="AI9" s="31"/>
      <c r="AJ9" s="31"/>
      <c r="AK9" s="26"/>
      <c r="AL9" s="99"/>
      <c r="AM9" s="26"/>
      <c r="AN9" s="26"/>
      <c r="AO9" s="124"/>
      <c r="AP9" s="59"/>
      <c r="AQ9" s="59">
        <v>0</v>
      </c>
      <c r="AR9" s="59"/>
    </row>
    <row r="10" spans="1:44" s="32" customFormat="1" ht="39.75" customHeight="1" x14ac:dyDescent="0.25">
      <c r="A10" s="19">
        <v>2</v>
      </c>
      <c r="B10" s="20" t="s">
        <v>7</v>
      </c>
      <c r="C10" s="84">
        <v>46.94609016000004</v>
      </c>
      <c r="D10" s="85">
        <f t="shared" ref="D10:D21" si="2">+E10+F10+G10+H10</f>
        <v>1174.00959195</v>
      </c>
      <c r="E10" s="85">
        <v>807</v>
      </c>
      <c r="F10" s="85">
        <v>367.00959195000002</v>
      </c>
      <c r="G10" s="85"/>
      <c r="H10" s="85"/>
      <c r="I10" s="85">
        <f t="shared" ref="I10:I21" si="3">+K10+L10+J10</f>
        <v>1218.7339550199999</v>
      </c>
      <c r="J10" s="86"/>
      <c r="K10" s="87">
        <v>54.5</v>
      </c>
      <c r="L10" s="86">
        <v>1164.2339550199999</v>
      </c>
      <c r="M10" s="88">
        <f t="shared" ref="M10:M21" si="4">+C10+D10-I10</f>
        <v>2.2217270900000585</v>
      </c>
      <c r="N10" s="84">
        <v>27.819259389999957</v>
      </c>
      <c r="O10" s="85">
        <f t="shared" ref="O10:O21" si="5">+P10+Q10+R10+S10</f>
        <v>846.22049317999995</v>
      </c>
      <c r="P10" s="85">
        <v>477</v>
      </c>
      <c r="Q10" s="85">
        <v>369.22049318000001</v>
      </c>
      <c r="R10" s="85"/>
      <c r="S10" s="85"/>
      <c r="T10" s="85">
        <f t="shared" ref="T10:T21" si="6">SUM(U10:AF10)</f>
        <v>799.07119999999998</v>
      </c>
      <c r="U10" s="86"/>
      <c r="V10" s="86">
        <v>56.6</v>
      </c>
      <c r="W10" s="86">
        <v>56.35</v>
      </c>
      <c r="X10" s="86">
        <v>215.10999999999999</v>
      </c>
      <c r="Y10" s="86"/>
      <c r="Z10" s="86"/>
      <c r="AA10" s="86">
        <f>3.7628+150</f>
        <v>153.7628</v>
      </c>
      <c r="AB10" s="86">
        <f>39.6+39.6</f>
        <v>79.2</v>
      </c>
      <c r="AC10" s="86">
        <f>130.34-0.49</f>
        <v>129.85</v>
      </c>
      <c r="AD10" s="86"/>
      <c r="AE10" s="86">
        <v>108.19839999999988</v>
      </c>
      <c r="AF10" s="86"/>
      <c r="AG10" s="88">
        <f t="shared" ref="AG10:AG21" si="7">+N10+O10-T10</f>
        <v>74.968552569999929</v>
      </c>
      <c r="AI10" s="31"/>
      <c r="AJ10" s="31"/>
      <c r="AK10" s="26"/>
      <c r="AL10" s="99"/>
      <c r="AM10" s="26"/>
      <c r="AN10" s="26"/>
      <c r="AO10" s="124"/>
      <c r="AP10" s="59"/>
      <c r="AQ10" s="59">
        <v>0</v>
      </c>
      <c r="AR10" s="59"/>
    </row>
    <row r="11" spans="1:44" s="32" customFormat="1" ht="39.75" customHeight="1" x14ac:dyDescent="0.25">
      <c r="A11" s="19">
        <v>3</v>
      </c>
      <c r="B11" s="20" t="s">
        <v>8</v>
      </c>
      <c r="C11" s="84">
        <v>103.68430670999999</v>
      </c>
      <c r="D11" s="85">
        <f t="shared" si="2"/>
        <v>1063.0424487999999</v>
      </c>
      <c r="E11" s="85">
        <v>650</v>
      </c>
      <c r="F11" s="85">
        <v>413.04244879999999</v>
      </c>
      <c r="G11" s="85">
        <f>100-100</f>
        <v>0</v>
      </c>
      <c r="H11" s="85"/>
      <c r="I11" s="85">
        <f t="shared" si="3"/>
        <v>1127.508431</v>
      </c>
      <c r="J11" s="86"/>
      <c r="K11" s="87">
        <v>20.8</v>
      </c>
      <c r="L11" s="86">
        <v>1106.708431</v>
      </c>
      <c r="M11" s="88">
        <f t="shared" si="4"/>
        <v>39.218324509999775</v>
      </c>
      <c r="N11" s="84">
        <v>78.159513419999968</v>
      </c>
      <c r="O11" s="85">
        <f t="shared" si="5"/>
        <v>1053.2006561999999</v>
      </c>
      <c r="P11" s="85">
        <v>637.66999999999996</v>
      </c>
      <c r="Q11" s="85">
        <v>415.53065620000001</v>
      </c>
      <c r="R11" s="85">
        <f>100-100</f>
        <v>0</v>
      </c>
      <c r="S11" s="85"/>
      <c r="T11" s="85">
        <f t="shared" si="6"/>
        <v>784.90571599999998</v>
      </c>
      <c r="U11" s="86"/>
      <c r="V11" s="86">
        <v>33.9</v>
      </c>
      <c r="W11" s="86">
        <v>55.37</v>
      </c>
      <c r="X11" s="86">
        <v>41.65</v>
      </c>
      <c r="Y11" s="86">
        <v>41.65</v>
      </c>
      <c r="Z11" s="86">
        <v>82.32</v>
      </c>
      <c r="AA11" s="86">
        <v>201.008116</v>
      </c>
      <c r="AB11" s="86">
        <v>45.3</v>
      </c>
      <c r="AC11" s="86"/>
      <c r="AD11" s="86">
        <v>73.010000000000005</v>
      </c>
      <c r="AE11" s="86">
        <v>210.69759999999997</v>
      </c>
      <c r="AF11" s="86"/>
      <c r="AG11" s="88">
        <f t="shared" si="7"/>
        <v>346.45445361999987</v>
      </c>
      <c r="AI11" s="31"/>
      <c r="AJ11" s="31"/>
      <c r="AK11" s="26"/>
      <c r="AL11" s="99"/>
      <c r="AM11" s="26"/>
      <c r="AN11" s="26"/>
      <c r="AO11" s="124"/>
      <c r="AP11" s="59"/>
      <c r="AQ11" s="59">
        <v>0</v>
      </c>
      <c r="AR11" s="59"/>
    </row>
    <row r="12" spans="1:44" s="32" customFormat="1" ht="39.75" customHeight="1" x14ac:dyDescent="0.25">
      <c r="A12" s="19">
        <v>4</v>
      </c>
      <c r="B12" s="20" t="s">
        <v>9</v>
      </c>
      <c r="C12" s="84">
        <v>318.16836652000001</v>
      </c>
      <c r="D12" s="85">
        <f>+E12+F12+G12+H12</f>
        <v>1013.64933302</v>
      </c>
      <c r="E12" s="85">
        <v>617</v>
      </c>
      <c r="F12" s="85">
        <v>396.64933301999997</v>
      </c>
      <c r="G12" s="85"/>
      <c r="H12" s="85"/>
      <c r="I12" s="85">
        <f t="shared" si="3"/>
        <v>828.00875999999994</v>
      </c>
      <c r="J12" s="86"/>
      <c r="K12" s="87">
        <v>37.200000000000003</v>
      </c>
      <c r="L12" s="86">
        <v>790.80875999999989</v>
      </c>
      <c r="M12" s="88">
        <f t="shared" si="4"/>
        <v>503.80893953999998</v>
      </c>
      <c r="N12" s="84">
        <v>418.51877841000004</v>
      </c>
      <c r="O12" s="85">
        <f t="shared" si="5"/>
        <v>1116.0387867499999</v>
      </c>
      <c r="P12" s="85">
        <v>717</v>
      </c>
      <c r="Q12" s="85">
        <v>399.03878674999999</v>
      </c>
      <c r="R12" s="85"/>
      <c r="S12" s="85"/>
      <c r="T12" s="85">
        <f t="shared" si="6"/>
        <v>1222.8660015999999</v>
      </c>
      <c r="U12" s="86"/>
      <c r="V12" s="86">
        <v>53.3</v>
      </c>
      <c r="W12" s="86">
        <f>67.13-1.96</f>
        <v>65.17</v>
      </c>
      <c r="X12" s="86">
        <f>51.94+0.98</f>
        <v>52.919999999999995</v>
      </c>
      <c r="Y12" s="86">
        <f>146.51-2.45</f>
        <v>144.06</v>
      </c>
      <c r="Z12" s="86"/>
      <c r="AA12" s="86">
        <f>18.48+4.9392-3</f>
        <v>20.4192</v>
      </c>
      <c r="AB12" s="86">
        <f>282</f>
        <v>282</v>
      </c>
      <c r="AC12" s="86">
        <v>0.5</v>
      </c>
      <c r="AD12" s="86">
        <v>148.75</v>
      </c>
      <c r="AE12" s="86">
        <v>455.74680159999986</v>
      </c>
      <c r="AF12" s="86"/>
      <c r="AG12" s="88">
        <f t="shared" si="7"/>
        <v>311.69156356000008</v>
      </c>
      <c r="AI12" s="31"/>
      <c r="AJ12" s="31"/>
      <c r="AK12" s="26"/>
      <c r="AL12" s="99"/>
      <c r="AM12" s="26"/>
      <c r="AN12" s="26"/>
      <c r="AO12" s="124"/>
      <c r="AP12" s="59"/>
      <c r="AQ12" s="59">
        <v>23.999999999999886</v>
      </c>
      <c r="AR12" s="59"/>
    </row>
    <row r="13" spans="1:44" s="32" customFormat="1" ht="39.75" customHeight="1" x14ac:dyDescent="0.25">
      <c r="A13" s="19">
        <v>5</v>
      </c>
      <c r="B13" s="20" t="s">
        <v>10</v>
      </c>
      <c r="C13" s="84">
        <v>858.10617397999999</v>
      </c>
      <c r="D13" s="85">
        <f t="shared" si="2"/>
        <v>1154.4677357200001</v>
      </c>
      <c r="E13" s="85">
        <v>202</v>
      </c>
      <c r="F13" s="85">
        <v>952.46773572000006</v>
      </c>
      <c r="G13" s="85"/>
      <c r="H13" s="85"/>
      <c r="I13" s="85">
        <f t="shared" si="3"/>
        <v>2011.2642901900001</v>
      </c>
      <c r="J13" s="86"/>
      <c r="K13" s="87">
        <v>53.5</v>
      </c>
      <c r="L13" s="86">
        <v>1957.7642901900001</v>
      </c>
      <c r="M13" s="88">
        <f t="shared" si="4"/>
        <v>1.3096195099999477</v>
      </c>
      <c r="N13" s="84">
        <v>508.83572927</v>
      </c>
      <c r="O13" s="85">
        <f t="shared" si="5"/>
        <v>1040.20549325</v>
      </c>
      <c r="P13" s="85">
        <v>82</v>
      </c>
      <c r="Q13" s="85">
        <v>958.20549325000002</v>
      </c>
      <c r="R13" s="85"/>
      <c r="S13" s="85"/>
      <c r="T13" s="85">
        <f t="shared" si="6"/>
        <v>1351.7541740000001</v>
      </c>
      <c r="U13" s="86"/>
      <c r="V13" s="86">
        <v>40.299999999999997</v>
      </c>
      <c r="W13" s="86">
        <v>49</v>
      </c>
      <c r="X13" s="86">
        <v>118.57999999999998</v>
      </c>
      <c r="Y13" s="86"/>
      <c r="Z13" s="86"/>
      <c r="AA13" s="86">
        <v>121.825501</v>
      </c>
      <c r="AB13" s="86">
        <v>59.6</v>
      </c>
      <c r="AC13" s="86"/>
      <c r="AD13" s="86">
        <v>236.17999999999995</v>
      </c>
      <c r="AE13" s="86">
        <v>726.26867300000004</v>
      </c>
      <c r="AF13" s="86"/>
      <c r="AG13" s="88">
        <f t="shared" si="7"/>
        <v>197.28704851999987</v>
      </c>
      <c r="AI13" s="31"/>
      <c r="AJ13" s="31"/>
      <c r="AK13" s="26"/>
      <c r="AL13" s="99"/>
      <c r="AM13" s="26"/>
      <c r="AN13" s="26"/>
      <c r="AO13" s="124"/>
      <c r="AP13" s="59"/>
      <c r="AQ13" s="59">
        <v>81.724485999999956</v>
      </c>
      <c r="AR13" s="59"/>
    </row>
    <row r="14" spans="1:44" s="32" customFormat="1" ht="39.75" customHeight="1" x14ac:dyDescent="0.25">
      <c r="A14" s="19">
        <v>6</v>
      </c>
      <c r="B14" s="20" t="s">
        <v>11</v>
      </c>
      <c r="C14" s="84">
        <v>2.2153507499999989</v>
      </c>
      <c r="D14" s="85">
        <f t="shared" si="2"/>
        <v>1356.55830051</v>
      </c>
      <c r="E14" s="85">
        <f>850+33</f>
        <v>883</v>
      </c>
      <c r="F14" s="85">
        <v>473.55830050999998</v>
      </c>
      <c r="G14" s="85"/>
      <c r="H14" s="85"/>
      <c r="I14" s="85">
        <f t="shared" si="3"/>
        <v>1086.5250310000001</v>
      </c>
      <c r="J14" s="86"/>
      <c r="K14" s="89">
        <v>62</v>
      </c>
      <c r="L14" s="86">
        <v>1024.5250310000001</v>
      </c>
      <c r="M14" s="88">
        <f t="shared" si="4"/>
        <v>272.24862025999983</v>
      </c>
      <c r="N14" s="84">
        <v>194.62688897999988</v>
      </c>
      <c r="O14" s="85">
        <f t="shared" si="5"/>
        <v>1336.4110610099999</v>
      </c>
      <c r="P14" s="85">
        <f>826+34</f>
        <v>860</v>
      </c>
      <c r="Q14" s="85">
        <v>476.41106100999997</v>
      </c>
      <c r="R14" s="85"/>
      <c r="S14" s="85"/>
      <c r="T14" s="85">
        <f t="shared" si="6"/>
        <v>1037.247269</v>
      </c>
      <c r="U14" s="86"/>
      <c r="V14" s="86">
        <v>69.5</v>
      </c>
      <c r="W14" s="86">
        <v>81.83</v>
      </c>
      <c r="X14" s="86">
        <v>71.539999999999964</v>
      </c>
      <c r="Y14" s="86">
        <v>67.620000000000061</v>
      </c>
      <c r="Z14" s="86">
        <f>63.21+57.33</f>
        <v>120.53999999999999</v>
      </c>
      <c r="AA14" s="86">
        <f>169.919269-33.92+0.735+2.058+3.95</f>
        <v>142.74226900000002</v>
      </c>
      <c r="AB14" s="86">
        <f>199.8</f>
        <v>199.8</v>
      </c>
      <c r="AC14" s="86"/>
      <c r="AD14" s="86">
        <f>137.69+2.16</f>
        <v>139.85</v>
      </c>
      <c r="AE14" s="86">
        <v>143.82499999999993</v>
      </c>
      <c r="AF14" s="86"/>
      <c r="AG14" s="88">
        <f t="shared" si="7"/>
        <v>493.79068098999983</v>
      </c>
      <c r="AI14" s="31"/>
      <c r="AJ14" s="31"/>
      <c r="AK14" s="26"/>
      <c r="AL14" s="99"/>
      <c r="AM14" s="26"/>
      <c r="AN14" s="26"/>
      <c r="AO14" s="124"/>
      <c r="AP14" s="59"/>
      <c r="AQ14" s="59">
        <v>21.219999999999914</v>
      </c>
      <c r="AR14" s="59"/>
    </row>
    <row r="15" spans="1:44" s="32" customFormat="1" ht="39.75" customHeight="1" x14ac:dyDescent="0.25">
      <c r="A15" s="19">
        <v>7</v>
      </c>
      <c r="B15" s="20" t="s">
        <v>12</v>
      </c>
      <c r="C15" s="84">
        <v>30.688418860000013</v>
      </c>
      <c r="D15" s="85">
        <f t="shared" si="2"/>
        <v>1228.8627329400001</v>
      </c>
      <c r="E15" s="85">
        <v>768</v>
      </c>
      <c r="F15" s="85">
        <v>460.86273294</v>
      </c>
      <c r="G15" s="85"/>
      <c r="H15" s="85"/>
      <c r="I15" s="85">
        <f t="shared" si="3"/>
        <v>1119.7415361000001</v>
      </c>
      <c r="J15" s="86"/>
      <c r="K15" s="87">
        <v>57.5</v>
      </c>
      <c r="L15" s="86">
        <v>1062.2415361000001</v>
      </c>
      <c r="M15" s="88">
        <f t="shared" si="4"/>
        <v>139.80961569999999</v>
      </c>
      <c r="N15" s="84">
        <v>27.585337009999989</v>
      </c>
      <c r="O15" s="85">
        <f t="shared" si="5"/>
        <v>1051.6390144</v>
      </c>
      <c r="P15" s="85">
        <v>588</v>
      </c>
      <c r="Q15" s="85">
        <v>463.63901439999995</v>
      </c>
      <c r="R15" s="85"/>
      <c r="S15" s="85"/>
      <c r="T15" s="85">
        <f t="shared" si="6"/>
        <v>676.45201399999996</v>
      </c>
      <c r="U15" s="86"/>
      <c r="V15" s="86">
        <v>79.2</v>
      </c>
      <c r="W15" s="86">
        <v>50.96</v>
      </c>
      <c r="X15" s="86">
        <v>51.45</v>
      </c>
      <c r="Y15" s="86">
        <v>106.08499999999999</v>
      </c>
      <c r="Z15" s="86"/>
      <c r="AA15" s="86">
        <v>5.0960000000000001</v>
      </c>
      <c r="AB15" s="86">
        <v>108.9</v>
      </c>
      <c r="AC15" s="86">
        <v>191.345</v>
      </c>
      <c r="AD15" s="86"/>
      <c r="AE15" s="86">
        <v>83.416013999999848</v>
      </c>
      <c r="AF15" s="86"/>
      <c r="AG15" s="88">
        <f t="shared" si="7"/>
        <v>402.77233741000009</v>
      </c>
      <c r="AI15" s="31"/>
      <c r="AJ15" s="31"/>
      <c r="AK15" s="26"/>
      <c r="AL15" s="99"/>
      <c r="AM15" s="26"/>
      <c r="AN15" s="26"/>
      <c r="AO15" s="124"/>
      <c r="AP15" s="59"/>
      <c r="AQ15" s="59">
        <v>0.47039999999992688</v>
      </c>
      <c r="AR15" s="59"/>
    </row>
    <row r="16" spans="1:44" s="32" customFormat="1" ht="39.75" customHeight="1" x14ac:dyDescent="0.25">
      <c r="A16" s="19">
        <v>8</v>
      </c>
      <c r="B16" s="20" t="s">
        <v>13</v>
      </c>
      <c r="C16" s="84">
        <v>334.22964738000002</v>
      </c>
      <c r="D16" s="85">
        <f t="shared" si="2"/>
        <v>1169.5964764800001</v>
      </c>
      <c r="E16" s="85">
        <v>762</v>
      </c>
      <c r="F16" s="85">
        <v>407.59647648000004</v>
      </c>
      <c r="G16" s="85"/>
      <c r="H16" s="90"/>
      <c r="I16" s="85">
        <f t="shared" si="3"/>
        <v>1357.675823</v>
      </c>
      <c r="J16" s="86"/>
      <c r="K16" s="87">
        <v>20.2</v>
      </c>
      <c r="L16" s="86">
        <v>1337.475823</v>
      </c>
      <c r="M16" s="88">
        <f>+C16+D16-I16</f>
        <v>146.15030086000002</v>
      </c>
      <c r="N16" s="84">
        <v>336.15452477999997</v>
      </c>
      <c r="O16" s="85">
        <f t="shared" si="5"/>
        <v>1172.1518768599999</v>
      </c>
      <c r="P16" s="85">
        <v>762</v>
      </c>
      <c r="Q16" s="85">
        <v>410.05187685999999</v>
      </c>
      <c r="R16" s="85"/>
      <c r="S16" s="90">
        <v>0.1</v>
      </c>
      <c r="T16" s="85">
        <f t="shared" si="6"/>
        <v>1371.8822</v>
      </c>
      <c r="U16" s="86"/>
      <c r="V16" s="86">
        <v>82</v>
      </c>
      <c r="W16" s="86">
        <v>118.09</v>
      </c>
      <c r="X16" s="86">
        <f>131.32-0.98</f>
        <v>130.34</v>
      </c>
      <c r="Y16" s="86">
        <v>98</v>
      </c>
      <c r="Z16" s="86"/>
      <c r="AA16" s="86">
        <f>150.4632+4.234-4.9-0.78</f>
        <v>149.0172</v>
      </c>
      <c r="AB16" s="86">
        <f>91.4-0.2</f>
        <v>91.2</v>
      </c>
      <c r="AC16" s="86">
        <f>253.2-189</f>
        <v>64.199999999999989</v>
      </c>
      <c r="AD16" s="86">
        <f>75.33-7.83</f>
        <v>67.5</v>
      </c>
      <c r="AE16" s="86">
        <v>571.53499999999985</v>
      </c>
      <c r="AF16" s="86"/>
      <c r="AG16" s="88">
        <f t="shared" si="7"/>
        <v>136.42420163999986</v>
      </c>
      <c r="AH16" s="74"/>
      <c r="AI16" s="31"/>
      <c r="AJ16" s="31"/>
      <c r="AK16" s="26"/>
      <c r="AL16" s="99"/>
      <c r="AM16" s="26"/>
      <c r="AN16" s="26"/>
      <c r="AO16" s="124"/>
      <c r="AP16" s="59"/>
      <c r="AQ16" s="59">
        <v>32.639999999999873</v>
      </c>
      <c r="AR16" s="59"/>
    </row>
    <row r="17" spans="1:44" s="32" customFormat="1" ht="39.75" customHeight="1" x14ac:dyDescent="0.25">
      <c r="A17" s="19">
        <v>9</v>
      </c>
      <c r="B17" s="20" t="s">
        <v>14</v>
      </c>
      <c r="C17" s="84">
        <v>0.18420076000001018</v>
      </c>
      <c r="D17" s="85">
        <f t="shared" si="2"/>
        <v>407.76388301999998</v>
      </c>
      <c r="E17" s="85">
        <v>55</v>
      </c>
      <c r="F17" s="85">
        <v>349.46388301999997</v>
      </c>
      <c r="G17" s="85"/>
      <c r="H17" s="85">
        <f>3.3</f>
        <v>3.3</v>
      </c>
      <c r="I17" s="85">
        <f t="shared" si="3"/>
        <v>404.31419999999997</v>
      </c>
      <c r="J17" s="86"/>
      <c r="K17" s="89">
        <v>32.9</v>
      </c>
      <c r="L17" s="86">
        <v>371.41419999999999</v>
      </c>
      <c r="M17" s="88">
        <f t="shared" si="4"/>
        <v>3.6338837800000192</v>
      </c>
      <c r="N17" s="84">
        <v>0.15458753000001479</v>
      </c>
      <c r="O17" s="85">
        <f t="shared" si="5"/>
        <v>406.56906014999998</v>
      </c>
      <c r="P17" s="85">
        <v>55</v>
      </c>
      <c r="Q17" s="85">
        <v>351.56906014999998</v>
      </c>
      <c r="R17" s="85"/>
      <c r="S17" s="85"/>
      <c r="T17" s="85">
        <f t="shared" si="6"/>
        <v>330.06274100000002</v>
      </c>
      <c r="U17" s="86"/>
      <c r="V17" s="86">
        <v>31.5</v>
      </c>
      <c r="W17" s="86">
        <f>39.2-1.47</f>
        <v>37.730000000000004</v>
      </c>
      <c r="X17" s="86">
        <v>39.200000000000003</v>
      </c>
      <c r="Y17" s="86">
        <v>73.5</v>
      </c>
      <c r="Z17" s="86">
        <v>44</v>
      </c>
      <c r="AA17" s="86">
        <v>30.201260000000001</v>
      </c>
      <c r="AB17" s="86"/>
      <c r="AC17" s="86"/>
      <c r="AD17" s="86">
        <f>54+7.02</f>
        <v>61.019999999999996</v>
      </c>
      <c r="AE17" s="86">
        <v>12.911481000000038</v>
      </c>
      <c r="AF17" s="86"/>
      <c r="AG17" s="88">
        <f>+N17+O17-T17</f>
        <v>76.660906679999982</v>
      </c>
      <c r="AI17" s="31"/>
      <c r="AJ17" s="31"/>
      <c r="AK17" s="26"/>
      <c r="AL17" s="99"/>
      <c r="AM17" s="26"/>
      <c r="AN17" s="26"/>
      <c r="AO17" s="124"/>
      <c r="AP17" s="59"/>
      <c r="AQ17" s="59">
        <v>0</v>
      </c>
      <c r="AR17" s="59"/>
    </row>
    <row r="18" spans="1:44" s="32" customFormat="1" ht="39.75" customHeight="1" x14ac:dyDescent="0.25">
      <c r="A18" s="19">
        <v>10</v>
      </c>
      <c r="B18" s="20" t="s">
        <v>15</v>
      </c>
      <c r="C18" s="84">
        <v>114.48770286</v>
      </c>
      <c r="D18" s="85">
        <f t="shared" si="2"/>
        <v>789.88099092000004</v>
      </c>
      <c r="E18" s="85">
        <v>488.875</v>
      </c>
      <c r="F18" s="85">
        <v>301.00599092000004</v>
      </c>
      <c r="G18" s="85"/>
      <c r="H18" s="85"/>
      <c r="I18" s="85">
        <f t="shared" si="3"/>
        <v>902.66801699999996</v>
      </c>
      <c r="J18" s="86"/>
      <c r="K18" s="87">
        <v>23.4</v>
      </c>
      <c r="L18" s="86">
        <v>879.26801699999999</v>
      </c>
      <c r="M18" s="88">
        <f>+C18+D18-I18</f>
        <v>1.7006767800000944</v>
      </c>
      <c r="N18" s="84">
        <v>78.242448040000028</v>
      </c>
      <c r="O18" s="85">
        <f t="shared" si="5"/>
        <v>502.81928002000001</v>
      </c>
      <c r="P18" s="85">
        <v>200</v>
      </c>
      <c r="Q18" s="85">
        <v>302.81928002000001</v>
      </c>
      <c r="R18" s="85"/>
      <c r="S18" s="85"/>
      <c r="T18" s="85">
        <f t="shared" si="6"/>
        <v>499.57080000000002</v>
      </c>
      <c r="U18" s="86"/>
      <c r="V18" s="86">
        <v>38.5</v>
      </c>
      <c r="W18" s="100">
        <f>56.57+2.94</f>
        <v>59.51</v>
      </c>
      <c r="X18" s="86">
        <v>74.099999999999994</v>
      </c>
      <c r="Y18" s="86">
        <v>0.98</v>
      </c>
      <c r="Z18" s="86"/>
      <c r="AA18" s="86">
        <f>47.964+3.6</f>
        <v>51.564</v>
      </c>
      <c r="AB18" s="86">
        <v>20.7</v>
      </c>
      <c r="AC18" s="86">
        <v>38.32</v>
      </c>
      <c r="AD18" s="86">
        <v>20.52</v>
      </c>
      <c r="AE18" s="86">
        <v>180.02880000000005</v>
      </c>
      <c r="AF18" s="86">
        <v>15.347999999999999</v>
      </c>
      <c r="AG18" s="88">
        <f>+N18+O18-T18</f>
        <v>81.490928060000044</v>
      </c>
      <c r="AI18" s="31"/>
      <c r="AJ18" s="31"/>
      <c r="AK18" s="26"/>
      <c r="AL18" s="99"/>
      <c r="AM18" s="26"/>
      <c r="AN18" s="26"/>
      <c r="AO18" s="124"/>
      <c r="AP18" s="59"/>
      <c r="AQ18" s="59">
        <v>7.0499999999999545</v>
      </c>
      <c r="AR18" s="59"/>
    </row>
    <row r="19" spans="1:44" s="32" customFormat="1" ht="39.75" customHeight="1" x14ac:dyDescent="0.25">
      <c r="A19" s="19">
        <v>11</v>
      </c>
      <c r="B19" s="20" t="s">
        <v>16</v>
      </c>
      <c r="C19" s="84">
        <v>272.59222829000004</v>
      </c>
      <c r="D19" s="85">
        <f>+E19+F19+G19+H19</f>
        <v>823.38061691000007</v>
      </c>
      <c r="E19" s="85">
        <v>486</v>
      </c>
      <c r="F19" s="85">
        <v>337.38061691000001</v>
      </c>
      <c r="G19" s="85"/>
      <c r="H19" s="85"/>
      <c r="I19" s="85">
        <f t="shared" si="3"/>
        <v>919.80249299999991</v>
      </c>
      <c r="J19" s="86"/>
      <c r="K19" s="87">
        <v>26.5</v>
      </c>
      <c r="L19" s="86">
        <v>893.30249299999991</v>
      </c>
      <c r="M19" s="88">
        <f t="shared" si="4"/>
        <v>176.17035220000025</v>
      </c>
      <c r="N19" s="84">
        <v>300.67531400999997</v>
      </c>
      <c r="O19" s="85">
        <f t="shared" si="5"/>
        <v>525.41303045999996</v>
      </c>
      <c r="P19" s="85">
        <v>186</v>
      </c>
      <c r="Q19" s="85">
        <v>339.41303045999996</v>
      </c>
      <c r="R19" s="85"/>
      <c r="S19" s="85"/>
      <c r="T19" s="85">
        <f t="shared" si="6"/>
        <v>483.06453599999998</v>
      </c>
      <c r="U19" s="86"/>
      <c r="V19" s="86">
        <v>24.9</v>
      </c>
      <c r="W19" s="86">
        <v>111.72</v>
      </c>
      <c r="X19" s="86">
        <v>36.26</v>
      </c>
      <c r="Y19" s="86"/>
      <c r="Z19" s="86">
        <v>1.96</v>
      </c>
      <c r="AA19" s="86">
        <v>1.569536</v>
      </c>
      <c r="AB19" s="86">
        <v>27.44</v>
      </c>
      <c r="AC19" s="86"/>
      <c r="AD19" s="86">
        <v>131.76</v>
      </c>
      <c r="AE19" s="86">
        <v>147.45499999999998</v>
      </c>
      <c r="AF19" s="86"/>
      <c r="AG19" s="88">
        <f t="shared" si="7"/>
        <v>343.02380846999995</v>
      </c>
      <c r="AI19" s="31"/>
      <c r="AJ19" s="31"/>
      <c r="AK19" s="26"/>
      <c r="AL19" s="99"/>
      <c r="AM19" s="26"/>
      <c r="AN19" s="26"/>
      <c r="AO19" s="124"/>
      <c r="AP19" s="59"/>
      <c r="AQ19" s="59">
        <v>0</v>
      </c>
      <c r="AR19" s="59"/>
    </row>
    <row r="20" spans="1:44" s="32" customFormat="1" ht="39.75" customHeight="1" x14ac:dyDescent="0.25">
      <c r="A20" s="19">
        <v>12</v>
      </c>
      <c r="B20" s="20" t="s">
        <v>17</v>
      </c>
      <c r="C20" s="84">
        <v>266.67777042</v>
      </c>
      <c r="D20" s="85">
        <f t="shared" si="2"/>
        <v>948.74597362999998</v>
      </c>
      <c r="E20" s="85">
        <f>536.5+59.7</f>
        <v>596.20000000000005</v>
      </c>
      <c r="F20" s="85">
        <v>252.54597362999999</v>
      </c>
      <c r="G20" s="85"/>
      <c r="H20" s="85">
        <v>100</v>
      </c>
      <c r="I20" s="85">
        <f t="shared" si="3"/>
        <v>1008.394643</v>
      </c>
      <c r="J20" s="86"/>
      <c r="K20" s="87">
        <v>25.9</v>
      </c>
      <c r="L20" s="86">
        <v>982.494643</v>
      </c>
      <c r="M20" s="88">
        <f t="shared" si="4"/>
        <v>207.02910105000012</v>
      </c>
      <c r="N20" s="84">
        <v>265.86257627000003</v>
      </c>
      <c r="O20" s="85">
        <f t="shared" si="5"/>
        <v>742.76733486000001</v>
      </c>
      <c r="P20" s="85">
        <f>329+59.7</f>
        <v>388.7</v>
      </c>
      <c r="Q20" s="85">
        <v>254.06733486000002</v>
      </c>
      <c r="R20" s="85"/>
      <c r="S20" s="85">
        <v>100</v>
      </c>
      <c r="T20" s="85">
        <f t="shared" si="6"/>
        <v>933.69385699999998</v>
      </c>
      <c r="U20" s="86"/>
      <c r="V20" s="86">
        <v>32.6</v>
      </c>
      <c r="W20" s="86">
        <f>71.54-1.715</f>
        <v>69.825000000000003</v>
      </c>
      <c r="X20" s="86"/>
      <c r="Y20" s="86"/>
      <c r="Z20" s="86"/>
      <c r="AA20" s="86">
        <f>275.79965+2.35</f>
        <v>278.14965000000001</v>
      </c>
      <c r="AB20" s="86">
        <v>55.44</v>
      </c>
      <c r="AC20" s="86">
        <f>12.555</f>
        <v>12.555</v>
      </c>
      <c r="AD20" s="86">
        <v>108.54</v>
      </c>
      <c r="AE20" s="86">
        <v>376.58420699999994</v>
      </c>
      <c r="AF20" s="86"/>
      <c r="AG20" s="88">
        <f>+N20+O20-T20</f>
        <v>74.936054130000002</v>
      </c>
      <c r="AI20" s="31"/>
      <c r="AJ20" s="31"/>
      <c r="AK20" s="26"/>
      <c r="AL20" s="99"/>
      <c r="AM20" s="26"/>
      <c r="AN20" s="26"/>
      <c r="AO20" s="124"/>
      <c r="AP20" s="59"/>
      <c r="AQ20" s="59">
        <v>32.870199999999841</v>
      </c>
      <c r="AR20" s="59"/>
    </row>
    <row r="21" spans="1:44" s="32" customFormat="1" ht="39.75" customHeight="1" thickBot="1" x14ac:dyDescent="0.3">
      <c r="A21" s="21">
        <v>13</v>
      </c>
      <c r="B21" s="22" t="s">
        <v>18</v>
      </c>
      <c r="C21" s="91">
        <v>119.77477866</v>
      </c>
      <c r="D21" s="92">
        <f t="shared" si="2"/>
        <v>1157.5043132000001</v>
      </c>
      <c r="E21" s="92">
        <v>958</v>
      </c>
      <c r="F21" s="92">
        <v>199.50431319999998</v>
      </c>
      <c r="G21" s="92"/>
      <c r="H21" s="92"/>
      <c r="I21" s="92">
        <f t="shared" si="3"/>
        <v>1232.8009520000001</v>
      </c>
      <c r="J21" s="93"/>
      <c r="K21" s="94">
        <v>19</v>
      </c>
      <c r="L21" s="93">
        <v>1213.8009520000001</v>
      </c>
      <c r="M21" s="95">
        <f t="shared" si="4"/>
        <v>44.478139860000056</v>
      </c>
      <c r="N21" s="91">
        <v>96.735470120000002</v>
      </c>
      <c r="O21" s="92">
        <f t="shared" si="5"/>
        <v>1094.7061465300001</v>
      </c>
      <c r="P21" s="92">
        <v>894</v>
      </c>
      <c r="Q21" s="92">
        <v>200.70614653000001</v>
      </c>
      <c r="R21" s="92"/>
      <c r="S21" s="92"/>
      <c r="T21" s="92">
        <f t="shared" si="6"/>
        <v>439.87153599999994</v>
      </c>
      <c r="U21" s="93"/>
      <c r="V21" s="98">
        <f>25+20.55</f>
        <v>45.55</v>
      </c>
      <c r="W21" s="93">
        <v>29.4</v>
      </c>
      <c r="X21" s="93">
        <v>51.450000000000017</v>
      </c>
      <c r="Y21" s="93">
        <v>89.67</v>
      </c>
      <c r="Z21" s="93"/>
      <c r="AA21" s="93">
        <f>34.74+1.947</f>
        <v>36.687000000000005</v>
      </c>
      <c r="AB21" s="93">
        <f>81-0.9-0.6</f>
        <v>79.5</v>
      </c>
      <c r="AC21" s="93">
        <v>64.580000000000041</v>
      </c>
      <c r="AD21" s="93"/>
      <c r="AE21" s="98">
        <v>43.03453599999991</v>
      </c>
      <c r="AF21" s="98"/>
      <c r="AG21" s="95">
        <f t="shared" si="7"/>
        <v>751.57008065000014</v>
      </c>
      <c r="AI21" s="31"/>
      <c r="AJ21" s="31"/>
      <c r="AK21" s="26"/>
      <c r="AL21" s="99"/>
      <c r="AM21" s="26"/>
      <c r="AN21" s="26"/>
      <c r="AO21" s="124"/>
      <c r="AP21" s="59"/>
      <c r="AQ21" s="59">
        <v>0</v>
      </c>
      <c r="AR21" s="59"/>
    </row>
    <row r="22" spans="1:44" x14ac:dyDescent="0.25">
      <c r="AM22" s="26"/>
      <c r="AN22" s="26"/>
    </row>
    <row r="24" spans="1:44" x14ac:dyDescent="0.25">
      <c r="AG24" s="26"/>
    </row>
    <row r="25" spans="1:44" x14ac:dyDescent="0.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row>
  </sheetData>
  <mergeCells count="22">
    <mergeCell ref="AI5:AJ5"/>
    <mergeCell ref="T3:AG3"/>
    <mergeCell ref="A7:B7"/>
    <mergeCell ref="A4:A6"/>
    <mergeCell ref="B4:B6"/>
    <mergeCell ref="C5:C6"/>
    <mergeCell ref="I5:I6"/>
    <mergeCell ref="A3:B3"/>
    <mergeCell ref="J5:L5"/>
    <mergeCell ref="M5:M6"/>
    <mergeCell ref="A1:AG1"/>
    <mergeCell ref="D5:D6"/>
    <mergeCell ref="N5:N6"/>
    <mergeCell ref="C4:M4"/>
    <mergeCell ref="N4:AG4"/>
    <mergeCell ref="AG5:AG6"/>
    <mergeCell ref="T5:T6"/>
    <mergeCell ref="B2:AG2"/>
    <mergeCell ref="O5:O6"/>
    <mergeCell ref="E5:H5"/>
    <mergeCell ref="P5:S5"/>
    <mergeCell ref="U5:AF5"/>
  </mergeCells>
  <printOptions horizontalCentered="1"/>
  <pageMargins left="0" right="0" top="0" bottom="0" header="0" footer="0"/>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
  <sheetViews>
    <sheetView tabSelected="1" view="pageBreakPreview" zoomScale="80" zoomScaleNormal="80" zoomScaleSheetLayoutView="80" workbookViewId="0">
      <selection activeCell="AI7" sqref="AI7"/>
    </sheetView>
  </sheetViews>
  <sheetFormatPr defaultRowHeight="18.75" outlineLevelCol="1" x14ac:dyDescent="0.25"/>
  <cols>
    <col min="1" max="1" width="5.28515625" style="34" bestFit="1" customWidth="1"/>
    <col min="2" max="2" width="25.140625" style="34" customWidth="1"/>
    <col min="3" max="3" width="14.42578125" style="34" customWidth="1"/>
    <col min="4" max="4" width="17.28515625" style="34" customWidth="1"/>
    <col min="5" max="5" width="16.140625" style="34" customWidth="1" outlineLevel="1"/>
    <col min="6" max="6" width="16.85546875" style="34" customWidth="1" outlineLevel="1"/>
    <col min="7" max="7" width="10" style="34" customWidth="1" outlineLevel="1"/>
    <col min="8" max="8" width="17.7109375" style="34" customWidth="1"/>
    <col min="9" max="10" width="14.42578125" style="34" customWidth="1"/>
    <col min="11" max="11" width="19.7109375" style="34" customWidth="1"/>
    <col min="12" max="12" width="16.7109375" style="34" customWidth="1" outlineLevel="1"/>
    <col min="13" max="13" width="16" style="34" customWidth="1" outlineLevel="1"/>
    <col min="14" max="14" width="8.85546875" style="34" customWidth="1" outlineLevel="1"/>
    <col min="15" max="15" width="16.85546875" style="34" customWidth="1"/>
    <col min="16" max="16" width="17.140625" style="34" hidden="1" customWidth="1" outlineLevel="1"/>
    <col min="17" max="17" width="12" style="34" hidden="1" customWidth="1" outlineLevel="1"/>
    <col min="18" max="19" width="11.5703125" style="34" hidden="1" customWidth="1" outlineLevel="1"/>
    <col min="20" max="32" width="14.5703125" style="34" hidden="1" customWidth="1" outlineLevel="1"/>
    <col min="33" max="33" width="18.140625" style="34" hidden="1" customWidth="1" outlineLevel="1"/>
    <col min="34" max="34" width="14.42578125" style="34" customWidth="1" collapsed="1"/>
    <col min="35" max="35" width="19.42578125" style="34" bestFit="1" customWidth="1"/>
    <col min="36" max="36" width="23.42578125" style="34" bestFit="1" customWidth="1"/>
    <col min="37" max="37" width="32.7109375" style="34" bestFit="1" customWidth="1"/>
    <col min="38" max="38" width="18.140625" style="34" bestFit="1" customWidth="1"/>
    <col min="39" max="39" width="22.140625" style="34" bestFit="1" customWidth="1"/>
    <col min="40" max="40" width="14.85546875" style="34" bestFit="1" customWidth="1"/>
    <col min="41" max="41" width="12.140625" style="34" hidden="1" customWidth="1"/>
    <col min="42" max="42" width="13" style="34" bestFit="1" customWidth="1"/>
    <col min="43" max="16384" width="9.140625" style="34"/>
  </cols>
  <sheetData>
    <row r="1" spans="1:43" ht="38.25" customHeight="1" x14ac:dyDescent="0.25">
      <c r="A1" s="616" t="s">
        <v>181</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row>
    <row r="2" spans="1:43" x14ac:dyDescent="0.25">
      <c r="A2" s="23"/>
      <c r="B2" s="617" t="s">
        <v>19</v>
      </c>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row>
    <row r="3" spans="1:43" ht="39.75" customHeight="1" thickBot="1" x14ac:dyDescent="0.3">
      <c r="A3" s="618" t="s">
        <v>629</v>
      </c>
      <c r="B3" s="618"/>
      <c r="C3" s="25"/>
      <c r="I3" s="26"/>
      <c r="O3" s="618" t="s">
        <v>59</v>
      </c>
      <c r="P3" s="618"/>
      <c r="Q3" s="618"/>
      <c r="R3" s="618"/>
      <c r="S3" s="618"/>
      <c r="T3" s="618"/>
      <c r="U3" s="618"/>
      <c r="V3" s="618"/>
      <c r="W3" s="618"/>
      <c r="X3" s="618"/>
      <c r="Y3" s="618"/>
      <c r="Z3" s="618"/>
      <c r="AA3" s="618"/>
      <c r="AB3" s="618"/>
      <c r="AC3" s="618"/>
      <c r="AD3" s="618"/>
      <c r="AE3" s="618"/>
      <c r="AF3" s="618"/>
      <c r="AG3" s="618"/>
      <c r="AH3" s="618"/>
    </row>
    <row r="4" spans="1:43" ht="18.75" customHeight="1" x14ac:dyDescent="0.25">
      <c r="A4" s="619" t="s">
        <v>600</v>
      </c>
      <c r="B4" s="622" t="s">
        <v>4</v>
      </c>
      <c r="C4" s="619" t="s">
        <v>2</v>
      </c>
      <c r="D4" s="623"/>
      <c r="E4" s="623"/>
      <c r="F4" s="623"/>
      <c r="G4" s="623"/>
      <c r="H4" s="623"/>
      <c r="I4" s="622"/>
      <c r="J4" s="619" t="s">
        <v>1</v>
      </c>
      <c r="K4" s="623"/>
      <c r="L4" s="623"/>
      <c r="M4" s="623"/>
      <c r="N4" s="623"/>
      <c r="O4" s="623"/>
      <c r="P4" s="625"/>
      <c r="Q4" s="625"/>
      <c r="R4" s="625"/>
      <c r="S4" s="625"/>
      <c r="T4" s="625"/>
      <c r="U4" s="625"/>
      <c r="V4" s="625"/>
      <c r="W4" s="625"/>
      <c r="X4" s="625"/>
      <c r="Y4" s="625"/>
      <c r="Z4" s="625"/>
      <c r="AA4" s="625"/>
      <c r="AB4" s="625"/>
      <c r="AC4" s="625"/>
      <c r="AD4" s="625"/>
      <c r="AE4" s="625"/>
      <c r="AF4" s="625"/>
      <c r="AG4" s="625"/>
      <c r="AH4" s="622"/>
    </row>
    <row r="5" spans="1:43" ht="37.5" customHeight="1" x14ac:dyDescent="0.25">
      <c r="A5" s="620"/>
      <c r="B5" s="612"/>
      <c r="C5" s="614" t="s">
        <v>134</v>
      </c>
      <c r="D5" s="610" t="s">
        <v>66</v>
      </c>
      <c r="E5" s="608" t="s">
        <v>128</v>
      </c>
      <c r="F5" s="609"/>
      <c r="G5" s="609"/>
      <c r="H5" s="630" t="s">
        <v>65</v>
      </c>
      <c r="I5" s="632" t="s">
        <v>630</v>
      </c>
      <c r="J5" s="614" t="s">
        <v>134</v>
      </c>
      <c r="K5" s="610" t="s">
        <v>66</v>
      </c>
      <c r="L5" s="608" t="s">
        <v>128</v>
      </c>
      <c r="M5" s="609"/>
      <c r="N5" s="609"/>
      <c r="O5" s="630" t="s">
        <v>65</v>
      </c>
      <c r="P5" s="608" t="s">
        <v>128</v>
      </c>
      <c r="Q5" s="609"/>
      <c r="R5" s="609"/>
      <c r="S5" s="609"/>
      <c r="T5" s="609"/>
      <c r="U5" s="609"/>
      <c r="V5" s="609"/>
      <c r="W5" s="609"/>
      <c r="X5" s="609"/>
      <c r="Y5" s="609"/>
      <c r="Z5" s="609"/>
      <c r="AA5" s="609"/>
      <c r="AB5" s="609"/>
      <c r="AC5" s="609"/>
      <c r="AD5" s="609"/>
      <c r="AE5" s="609"/>
      <c r="AF5" s="609"/>
      <c r="AG5" s="609"/>
      <c r="AH5" s="632" t="s">
        <v>630</v>
      </c>
    </row>
    <row r="6" spans="1:43" ht="145.5" customHeight="1" thickBot="1" x14ac:dyDescent="0.3">
      <c r="A6" s="621"/>
      <c r="B6" s="613"/>
      <c r="C6" s="615"/>
      <c r="D6" s="611"/>
      <c r="E6" s="188" t="s">
        <v>68</v>
      </c>
      <c r="F6" s="188" t="s">
        <v>63</v>
      </c>
      <c r="G6" s="188" t="s">
        <v>137</v>
      </c>
      <c r="H6" s="631"/>
      <c r="I6" s="633"/>
      <c r="J6" s="615"/>
      <c r="K6" s="611"/>
      <c r="L6" s="188" t="s">
        <v>68</v>
      </c>
      <c r="M6" s="188" t="s">
        <v>63</v>
      </c>
      <c r="N6" s="188" t="s">
        <v>137</v>
      </c>
      <c r="O6" s="631"/>
      <c r="P6" s="472" t="s">
        <v>215</v>
      </c>
      <c r="Q6" s="637" t="s">
        <v>550</v>
      </c>
      <c r="R6" s="638"/>
      <c r="S6" s="639" t="s">
        <v>579</v>
      </c>
      <c r="T6" s="640"/>
      <c r="U6" s="639" t="s">
        <v>588</v>
      </c>
      <c r="V6" s="640"/>
      <c r="W6" s="639" t="s">
        <v>590</v>
      </c>
      <c r="X6" s="640"/>
      <c r="Y6" s="639" t="s">
        <v>604</v>
      </c>
      <c r="Z6" s="640"/>
      <c r="AA6" s="634" t="s">
        <v>605</v>
      </c>
      <c r="AB6" s="635"/>
      <c r="AC6" s="634" t="s">
        <v>606</v>
      </c>
      <c r="AD6" s="635"/>
      <c r="AE6" s="634" t="s">
        <v>627</v>
      </c>
      <c r="AF6" s="635"/>
      <c r="AG6" s="593" t="s">
        <v>216</v>
      </c>
      <c r="AH6" s="636"/>
      <c r="AO6" s="34" t="s">
        <v>112</v>
      </c>
    </row>
    <row r="7" spans="1:43" ht="21" thickBot="1" x14ac:dyDescent="0.3">
      <c r="A7" s="606" t="s">
        <v>3</v>
      </c>
      <c r="B7" s="607"/>
      <c r="C7" s="75">
        <f>+C8+C9+C10+C11+C12+C13+C14+C15+C16+C17+C18+C19+C20+C21</f>
        <v>1365.0385447500003</v>
      </c>
      <c r="D7" s="76">
        <f>+D8+D9+D10+D11+D12+D13+D14+D15+D16+D17+D18+D19+D20+D21</f>
        <v>30193.793632660003</v>
      </c>
      <c r="E7" s="76">
        <f>+E8+E9+E10+E11+E12+E13+E14+E15+E16+E17+E18+E19+E20+E21</f>
        <v>17309.567676999999</v>
      </c>
      <c r="F7" s="76">
        <f>+F8+F9+F10+F11+F12+F13+F14+F15+F16+F17+F18+F19+F20+F21</f>
        <v>12865.669271659999</v>
      </c>
      <c r="G7" s="76">
        <f>+G8+G9+G10+G11+G12+G13+G14+G15+G16+G17+G18+G19+G20+G21</f>
        <v>18.556684000000001</v>
      </c>
      <c r="H7" s="76">
        <f t="shared" ref="H7:AH7" si="0">+H8+H9+H10+H11+H12+H13+H14+H15+H16+H17+H18+H19+H20+H21</f>
        <v>30511.002795039996</v>
      </c>
      <c r="I7" s="78">
        <f t="shared" si="0"/>
        <v>1047.8293823699996</v>
      </c>
      <c r="J7" s="75">
        <f t="shared" si="0"/>
        <v>1974.8783850200002</v>
      </c>
      <c r="K7" s="76">
        <f t="shared" si="0"/>
        <v>28697.574273220001</v>
      </c>
      <c r="L7" s="76">
        <f t="shared" si="0"/>
        <v>15743.823</v>
      </c>
      <c r="M7" s="76">
        <f t="shared" si="0"/>
        <v>12950.993273220001</v>
      </c>
      <c r="N7" s="76">
        <f t="shared" si="0"/>
        <v>2.7579999999999996</v>
      </c>
      <c r="O7" s="76">
        <f t="shared" si="0"/>
        <v>27134.829936639999</v>
      </c>
      <c r="P7" s="77">
        <f t="shared" si="0"/>
        <v>6094.8</v>
      </c>
      <c r="Q7" s="501">
        <f t="shared" si="0"/>
        <v>1049</v>
      </c>
      <c r="R7" s="502">
        <f t="shared" si="0"/>
        <v>855.58799999999997</v>
      </c>
      <c r="S7" s="501">
        <f t="shared" si="0"/>
        <v>3638</v>
      </c>
      <c r="T7" s="502">
        <f t="shared" si="0"/>
        <v>3460.9452000000001</v>
      </c>
      <c r="U7" s="501">
        <f t="shared" si="0"/>
        <v>1424</v>
      </c>
      <c r="V7" s="502">
        <f t="shared" si="0"/>
        <v>1344.99</v>
      </c>
      <c r="W7" s="501">
        <f t="shared" si="0"/>
        <v>405</v>
      </c>
      <c r="X7" s="502">
        <f t="shared" si="0"/>
        <v>983.899</v>
      </c>
      <c r="Y7" s="501">
        <f t="shared" si="0"/>
        <v>5170</v>
      </c>
      <c r="Z7" s="502">
        <f t="shared" si="0"/>
        <v>4748.74</v>
      </c>
      <c r="AA7" s="596">
        <f t="shared" si="0"/>
        <v>699</v>
      </c>
      <c r="AB7" s="77">
        <f t="shared" si="0"/>
        <v>565.16999999999996</v>
      </c>
      <c r="AC7" s="597">
        <f t="shared" si="0"/>
        <v>560</v>
      </c>
      <c r="AD7" s="77">
        <f t="shared" si="0"/>
        <v>588.31000000000006</v>
      </c>
      <c r="AE7" s="597">
        <f t="shared" si="0"/>
        <v>597</v>
      </c>
      <c r="AF7" s="599">
        <f t="shared" si="0"/>
        <v>1827.7060000000001</v>
      </c>
      <c r="AG7" s="76">
        <f t="shared" si="0"/>
        <v>909.99099999999999</v>
      </c>
      <c r="AH7" s="78">
        <f t="shared" si="0"/>
        <v>3537.6227215999988</v>
      </c>
      <c r="AI7" s="26"/>
      <c r="AJ7" s="26"/>
      <c r="AK7" s="26"/>
      <c r="AL7" s="26"/>
      <c r="AP7" s="26"/>
    </row>
    <row r="8" spans="1:43" s="32" customFormat="1" ht="31.5" customHeight="1" x14ac:dyDescent="0.25">
      <c r="A8" s="19">
        <v>1</v>
      </c>
      <c r="B8" s="20" t="s">
        <v>127</v>
      </c>
      <c r="C8" s="84">
        <v>148.13824599999998</v>
      </c>
      <c r="D8" s="85">
        <f t="shared" ref="D8:D21" si="1">+E8+F8+G8</f>
        <v>1053.32</v>
      </c>
      <c r="E8" s="90">
        <v>1053.32</v>
      </c>
      <c r="F8" s="90">
        <v>0</v>
      </c>
      <c r="G8" s="90">
        <v>0</v>
      </c>
      <c r="H8" s="90">
        <v>1181.8123399900001</v>
      </c>
      <c r="I8" s="88">
        <f t="shared" ref="I8:I21" si="2">C8+D8-H8</f>
        <v>19.645906009999862</v>
      </c>
      <c r="J8" s="84"/>
      <c r="K8" s="80">
        <f t="shared" ref="K8:K21" si="3">+L8+M8+N8</f>
        <v>0</v>
      </c>
      <c r="L8" s="459">
        <v>0</v>
      </c>
      <c r="M8" s="459">
        <v>0</v>
      </c>
      <c r="N8" s="459">
        <v>0</v>
      </c>
      <c r="O8" s="459">
        <v>0</v>
      </c>
      <c r="P8" s="459">
        <v>0</v>
      </c>
      <c r="Q8" s="459">
        <v>0</v>
      </c>
      <c r="R8" s="459">
        <v>0</v>
      </c>
      <c r="S8" s="494">
        <v>0</v>
      </c>
      <c r="T8" s="494">
        <v>0</v>
      </c>
      <c r="U8" s="494"/>
      <c r="V8" s="494"/>
      <c r="W8" s="495"/>
      <c r="X8" s="536"/>
      <c r="Y8" s="537"/>
      <c r="Z8" s="537"/>
      <c r="AA8" s="604"/>
      <c r="AB8" s="594"/>
      <c r="AC8" s="603"/>
      <c r="AD8" s="594"/>
      <c r="AE8" s="600"/>
      <c r="AF8" s="600"/>
      <c r="AG8" s="595"/>
      <c r="AH8" s="88">
        <f>+J8+K8-O8</f>
        <v>0</v>
      </c>
      <c r="AI8" s="26"/>
      <c r="AJ8" s="485"/>
      <c r="AK8" s="503"/>
      <c r="AL8" s="127"/>
      <c r="AM8" s="124"/>
      <c r="AN8" s="132"/>
      <c r="AO8" s="59"/>
      <c r="AP8" s="26"/>
    </row>
    <row r="9" spans="1:43" s="32" customFormat="1" ht="31.5" customHeight="1" x14ac:dyDescent="0.25">
      <c r="A9" s="19">
        <v>2</v>
      </c>
      <c r="B9" s="20" t="s">
        <v>6</v>
      </c>
      <c r="C9" s="84">
        <v>95.31757756999923</v>
      </c>
      <c r="D9" s="85">
        <f t="shared" si="1"/>
        <v>3929.6011546</v>
      </c>
      <c r="E9" s="90">
        <v>1244.8</v>
      </c>
      <c r="F9" s="90">
        <v>2684.8011545999998</v>
      </c>
      <c r="G9" s="90">
        <v>0</v>
      </c>
      <c r="H9" s="90">
        <v>3853.0722460000002</v>
      </c>
      <c r="I9" s="88">
        <f t="shared" si="2"/>
        <v>171.84648616999903</v>
      </c>
      <c r="J9" s="477">
        <v>100.26445493999972</v>
      </c>
      <c r="K9" s="478">
        <f t="shared" si="3"/>
        <v>4376.7706265100005</v>
      </c>
      <c r="L9" s="460">
        <v>1674.8</v>
      </c>
      <c r="M9" s="460">
        <v>2700.9706265100003</v>
      </c>
      <c r="N9" s="460">
        <v>1</v>
      </c>
      <c r="O9" s="460">
        <v>4282.3061681999998</v>
      </c>
      <c r="P9" s="460">
        <v>336</v>
      </c>
      <c r="Q9" s="461">
        <v>140</v>
      </c>
      <c r="R9" s="462">
        <v>84</v>
      </c>
      <c r="S9" s="495">
        <v>711</v>
      </c>
      <c r="T9" s="496">
        <v>435.96000000000004</v>
      </c>
      <c r="U9" s="495">
        <v>290</v>
      </c>
      <c r="V9" s="496">
        <v>191.4</v>
      </c>
      <c r="W9" s="495">
        <v>272</v>
      </c>
      <c r="X9" s="536">
        <v>179.52</v>
      </c>
      <c r="Y9" s="537">
        <v>1643</v>
      </c>
      <c r="Z9" s="537">
        <v>1084.3</v>
      </c>
      <c r="AA9" s="602">
        <v>110</v>
      </c>
      <c r="AB9" s="592">
        <v>72.599999999999994</v>
      </c>
      <c r="AC9" s="602">
        <v>201</v>
      </c>
      <c r="AD9" s="592">
        <v>132.66</v>
      </c>
      <c r="AE9" s="591">
        <v>597</v>
      </c>
      <c r="AF9" s="591">
        <v>394.68</v>
      </c>
      <c r="AG9" s="485">
        <v>48</v>
      </c>
      <c r="AH9" s="88">
        <f t="shared" ref="AH9:AH21" si="4">+J9+K9-O9</f>
        <v>194.72891325000001</v>
      </c>
      <c r="AI9" s="26"/>
      <c r="AJ9" s="485"/>
      <c r="AK9" s="503"/>
      <c r="AL9" s="127"/>
      <c r="AM9" s="374"/>
      <c r="AN9" s="375"/>
      <c r="AO9" s="59"/>
      <c r="AP9" s="26"/>
    </row>
    <row r="10" spans="1:43" s="32" customFormat="1" ht="31.5" customHeight="1" x14ac:dyDescent="0.25">
      <c r="A10" s="19">
        <v>3</v>
      </c>
      <c r="B10" s="20" t="s">
        <v>7</v>
      </c>
      <c r="C10" s="84">
        <v>59.314208170000029</v>
      </c>
      <c r="D10" s="85">
        <f t="shared" si="1"/>
        <v>2076.1954298400001</v>
      </c>
      <c r="E10" s="90">
        <v>1358.0319999999999</v>
      </c>
      <c r="F10" s="90">
        <v>713.80139684000005</v>
      </c>
      <c r="G10" s="90">
        <v>4.3620330000000003</v>
      </c>
      <c r="H10" s="90">
        <v>2114.2354409999998</v>
      </c>
      <c r="I10" s="88">
        <f t="shared" si="2"/>
        <v>21.274197010000535</v>
      </c>
      <c r="J10" s="477">
        <v>24.995449579999786</v>
      </c>
      <c r="K10" s="478">
        <f t="shared" si="3"/>
        <v>2056.1334050599999</v>
      </c>
      <c r="L10" s="460">
        <v>1338.0319999999999</v>
      </c>
      <c r="M10" s="460">
        <v>718.10140505999993</v>
      </c>
      <c r="N10" s="460">
        <v>0</v>
      </c>
      <c r="O10" s="460">
        <v>1660.0464999999999</v>
      </c>
      <c r="P10" s="460">
        <v>547.20000000000005</v>
      </c>
      <c r="Q10" s="461"/>
      <c r="R10" s="462">
        <v>0</v>
      </c>
      <c r="S10" s="495">
        <v>215</v>
      </c>
      <c r="T10" s="497">
        <v>283.8</v>
      </c>
      <c r="U10" s="495">
        <v>0</v>
      </c>
      <c r="V10" s="497"/>
      <c r="W10" s="495"/>
      <c r="X10" s="536"/>
      <c r="Y10" s="537">
        <v>240</v>
      </c>
      <c r="Z10" s="537">
        <v>323.39999999999998</v>
      </c>
      <c r="AA10" s="602"/>
      <c r="AB10" s="592"/>
      <c r="AC10" s="602">
        <v>115</v>
      </c>
      <c r="AD10" s="592">
        <v>151.80000000000001</v>
      </c>
      <c r="AE10" s="591"/>
      <c r="AF10" s="591"/>
      <c r="AG10" s="485">
        <v>69.05</v>
      </c>
      <c r="AH10" s="88">
        <f t="shared" si="4"/>
        <v>421.08235463999972</v>
      </c>
      <c r="AI10" s="26"/>
      <c r="AJ10" s="485"/>
      <c r="AK10" s="503"/>
      <c r="AL10" s="127"/>
      <c r="AM10" s="374"/>
      <c r="AN10" s="375"/>
      <c r="AO10" s="59"/>
      <c r="AP10" s="26"/>
    </row>
    <row r="11" spans="1:43" s="32" customFormat="1" ht="31.5" customHeight="1" x14ac:dyDescent="0.25">
      <c r="A11" s="19">
        <v>4</v>
      </c>
      <c r="B11" s="20" t="s">
        <v>8</v>
      </c>
      <c r="C11" s="84">
        <v>83.602549170000202</v>
      </c>
      <c r="D11" s="85">
        <f t="shared" si="1"/>
        <v>2201.9974647599997</v>
      </c>
      <c r="E11" s="90">
        <v>1431.07</v>
      </c>
      <c r="F11" s="90">
        <v>769.24746475999996</v>
      </c>
      <c r="G11" s="90">
        <v>1.68</v>
      </c>
      <c r="H11" s="90">
        <v>2078.8202500400002</v>
      </c>
      <c r="I11" s="88">
        <f t="shared" si="2"/>
        <v>206.77976388999969</v>
      </c>
      <c r="J11" s="477">
        <v>117.24381278000055</v>
      </c>
      <c r="K11" s="478">
        <f t="shared" si="3"/>
        <v>2204.9514855699999</v>
      </c>
      <c r="L11" s="460">
        <v>1431.07</v>
      </c>
      <c r="M11" s="460">
        <v>773.88148557000011</v>
      </c>
      <c r="N11" s="460">
        <v>0</v>
      </c>
      <c r="O11" s="460">
        <v>1634.5569390400003</v>
      </c>
      <c r="P11" s="460">
        <v>567.6</v>
      </c>
      <c r="Q11" s="461"/>
      <c r="R11" s="462"/>
      <c r="S11" s="495">
        <v>103</v>
      </c>
      <c r="T11" s="498">
        <v>123.6</v>
      </c>
      <c r="U11" s="495">
        <v>115</v>
      </c>
      <c r="V11" s="498">
        <v>167.75</v>
      </c>
      <c r="W11" s="495"/>
      <c r="X11" s="536"/>
      <c r="Y11" s="537">
        <v>252</v>
      </c>
      <c r="Z11" s="537">
        <v>332.64</v>
      </c>
      <c r="AA11" s="602"/>
      <c r="AB11" s="592"/>
      <c r="AC11" s="602"/>
      <c r="AD11" s="592"/>
      <c r="AE11" s="591"/>
      <c r="AF11" s="591">
        <v>2.4</v>
      </c>
      <c r="AG11" s="485">
        <v>93.15</v>
      </c>
      <c r="AH11" s="88">
        <f t="shared" si="4"/>
        <v>687.63835931000017</v>
      </c>
      <c r="AI11" s="26"/>
      <c r="AJ11" s="485"/>
      <c r="AK11" s="503"/>
      <c r="AL11" s="127"/>
      <c r="AM11" s="374"/>
      <c r="AN11" s="375"/>
      <c r="AO11" s="59"/>
      <c r="AP11" s="26"/>
    </row>
    <row r="12" spans="1:43" s="32" customFormat="1" ht="31.5" customHeight="1" x14ac:dyDescent="0.25">
      <c r="A12" s="19">
        <v>5</v>
      </c>
      <c r="B12" s="20" t="s">
        <v>9</v>
      </c>
      <c r="C12" s="84">
        <v>340.01671287999989</v>
      </c>
      <c r="D12" s="85">
        <f t="shared" si="1"/>
        <v>2089.43519113</v>
      </c>
      <c r="E12" s="90">
        <v>1179.7139999999999</v>
      </c>
      <c r="F12" s="90">
        <v>909.72119112999997</v>
      </c>
      <c r="G12" s="90">
        <v>0</v>
      </c>
      <c r="H12" s="90">
        <v>2349.9319420000002</v>
      </c>
      <c r="I12" s="88">
        <f t="shared" si="2"/>
        <v>79.519962009999745</v>
      </c>
      <c r="J12" s="477">
        <v>3.3430219000001671</v>
      </c>
      <c r="K12" s="478">
        <f t="shared" si="3"/>
        <v>2085.6154392799999</v>
      </c>
      <c r="L12" s="460">
        <v>1170.414</v>
      </c>
      <c r="M12" s="460">
        <v>915.20143927999993</v>
      </c>
      <c r="N12" s="460">
        <v>0</v>
      </c>
      <c r="O12" s="460">
        <v>2053.55785595</v>
      </c>
      <c r="P12" s="460">
        <v>483.6</v>
      </c>
      <c r="Q12" s="461"/>
      <c r="R12" s="462"/>
      <c r="S12" s="495">
        <v>236</v>
      </c>
      <c r="T12" s="498">
        <v>283.62</v>
      </c>
      <c r="U12" s="495">
        <v>32</v>
      </c>
      <c r="V12" s="498">
        <v>55.74</v>
      </c>
      <c r="W12" s="495"/>
      <c r="X12" s="536">
        <v>76.56</v>
      </c>
      <c r="Y12" s="537">
        <v>455</v>
      </c>
      <c r="Z12" s="537">
        <v>469.92</v>
      </c>
      <c r="AA12" s="602">
        <v>61</v>
      </c>
      <c r="AB12" s="592">
        <v>40.26</v>
      </c>
      <c r="AC12" s="602">
        <v>39</v>
      </c>
      <c r="AD12" s="592">
        <v>25.7</v>
      </c>
      <c r="AE12" s="591"/>
      <c r="AF12" s="591">
        <v>143.88</v>
      </c>
      <c r="AG12" s="485">
        <v>111.416</v>
      </c>
      <c r="AH12" s="88">
        <f t="shared" si="4"/>
        <v>35.40060523000011</v>
      </c>
      <c r="AI12" s="26"/>
      <c r="AJ12" s="485"/>
      <c r="AK12" s="503"/>
      <c r="AL12" s="127"/>
      <c r="AM12" s="485"/>
      <c r="AN12" s="485"/>
      <c r="AO12" s="485"/>
      <c r="AP12" s="26"/>
      <c r="AQ12" s="485"/>
    </row>
    <row r="13" spans="1:43" s="32" customFormat="1" ht="31.5" customHeight="1" x14ac:dyDescent="0.25">
      <c r="A13" s="19">
        <v>6</v>
      </c>
      <c r="B13" s="20" t="s">
        <v>10</v>
      </c>
      <c r="C13" s="84">
        <v>1.2826108300002943</v>
      </c>
      <c r="D13" s="85">
        <f t="shared" si="1"/>
        <v>2902.8530974</v>
      </c>
      <c r="E13" s="90">
        <v>1362.7349999999999</v>
      </c>
      <c r="F13" s="90">
        <v>1540.1180974000001</v>
      </c>
      <c r="G13" s="90">
        <v>0</v>
      </c>
      <c r="H13" s="90">
        <v>2897.2730540000002</v>
      </c>
      <c r="I13" s="88">
        <f t="shared" si="2"/>
        <v>6.8626542299998619</v>
      </c>
      <c r="J13" s="477">
        <v>74.199597509999649</v>
      </c>
      <c r="K13" s="478">
        <f t="shared" si="3"/>
        <v>2850.3479170599999</v>
      </c>
      <c r="L13" s="460">
        <v>1300.952</v>
      </c>
      <c r="M13" s="460">
        <v>1549.3959170599999</v>
      </c>
      <c r="N13" s="460">
        <v>0</v>
      </c>
      <c r="O13" s="460">
        <v>2656.2268346999999</v>
      </c>
      <c r="P13" s="460"/>
      <c r="Q13" s="461">
        <v>119</v>
      </c>
      <c r="R13" s="463">
        <v>142.80000000000001</v>
      </c>
      <c r="S13" s="495">
        <v>360</v>
      </c>
      <c r="T13" s="498">
        <v>432</v>
      </c>
      <c r="U13" s="495">
        <v>120</v>
      </c>
      <c r="V13" s="498">
        <v>158.4</v>
      </c>
      <c r="W13" s="495">
        <v>120</v>
      </c>
      <c r="X13" s="536">
        <v>158.4</v>
      </c>
      <c r="Y13" s="537">
        <v>300</v>
      </c>
      <c r="Z13" s="537">
        <v>396</v>
      </c>
      <c r="AA13" s="602">
        <v>101</v>
      </c>
      <c r="AB13" s="592">
        <v>132.6</v>
      </c>
      <c r="AC13" s="602">
        <v>101</v>
      </c>
      <c r="AD13" s="592">
        <v>133.30000000000001</v>
      </c>
      <c r="AE13" s="591"/>
      <c r="AF13" s="591">
        <v>413.16</v>
      </c>
      <c r="AG13" s="485">
        <v>79.301000000000002</v>
      </c>
      <c r="AH13" s="88">
        <f t="shared" si="4"/>
        <v>268.32067986999937</v>
      </c>
      <c r="AI13" s="26"/>
      <c r="AJ13" s="485"/>
      <c r="AK13" s="503"/>
      <c r="AL13" s="127"/>
      <c r="AM13" s="374"/>
      <c r="AN13" s="375"/>
      <c r="AO13" s="59"/>
      <c r="AP13" s="26"/>
    </row>
    <row r="14" spans="1:43" s="32" customFormat="1" ht="31.5" customHeight="1" x14ac:dyDescent="0.25">
      <c r="A14" s="19">
        <v>7</v>
      </c>
      <c r="B14" s="20" t="s">
        <v>11</v>
      </c>
      <c r="C14" s="84">
        <v>139.07764993000001</v>
      </c>
      <c r="D14" s="85">
        <f t="shared" si="1"/>
        <v>2216.1228197800001</v>
      </c>
      <c r="E14" s="90">
        <v>1068.5999999999999</v>
      </c>
      <c r="F14" s="90">
        <v>1146.8711687800001</v>
      </c>
      <c r="G14" s="90">
        <v>0.65165099999999998</v>
      </c>
      <c r="H14" s="90">
        <v>2140.2018509999998</v>
      </c>
      <c r="I14" s="88">
        <f t="shared" si="2"/>
        <v>214.9986187100003</v>
      </c>
      <c r="J14" s="477">
        <v>213.03487980999989</v>
      </c>
      <c r="K14" s="478">
        <f t="shared" si="3"/>
        <v>2181.5680312</v>
      </c>
      <c r="L14" s="460">
        <v>1026.5999999999999</v>
      </c>
      <c r="M14" s="460">
        <v>1153.7800311999999</v>
      </c>
      <c r="N14" s="460">
        <v>1.1879999999999999</v>
      </c>
      <c r="O14" s="460">
        <v>2173.1657570000002</v>
      </c>
      <c r="P14" s="460">
        <v>594</v>
      </c>
      <c r="Q14" s="461"/>
      <c r="R14" s="462">
        <v>0</v>
      </c>
      <c r="S14" s="495">
        <v>358</v>
      </c>
      <c r="T14" s="498">
        <v>279.48</v>
      </c>
      <c r="U14" s="495">
        <v>0</v>
      </c>
      <c r="V14" s="498"/>
      <c r="W14" s="495"/>
      <c r="X14" s="536">
        <v>122.1</v>
      </c>
      <c r="Y14" s="537">
        <v>337</v>
      </c>
      <c r="Z14" s="537">
        <v>223.08</v>
      </c>
      <c r="AA14" s="602">
        <v>339</v>
      </c>
      <c r="AB14" s="592">
        <v>223.7</v>
      </c>
      <c r="AC14" s="602"/>
      <c r="AD14" s="592"/>
      <c r="AE14" s="591"/>
      <c r="AF14" s="591">
        <v>167.64</v>
      </c>
      <c r="AG14" s="485">
        <v>41.8</v>
      </c>
      <c r="AH14" s="88">
        <f t="shared" si="4"/>
        <v>221.43715400999963</v>
      </c>
      <c r="AI14" s="26"/>
      <c r="AJ14" s="485"/>
      <c r="AK14" s="503"/>
      <c r="AL14" s="127"/>
      <c r="AM14" s="375"/>
      <c r="AN14" s="375"/>
      <c r="AO14" s="59"/>
      <c r="AP14" s="26"/>
    </row>
    <row r="15" spans="1:43" s="32" customFormat="1" ht="31.5" customHeight="1" x14ac:dyDescent="0.25">
      <c r="A15" s="19">
        <v>8</v>
      </c>
      <c r="B15" s="20" t="s">
        <v>12</v>
      </c>
      <c r="C15" s="84">
        <v>139.71153540000023</v>
      </c>
      <c r="D15" s="85">
        <f t="shared" si="1"/>
        <v>2462.6228814300002</v>
      </c>
      <c r="E15" s="90">
        <v>1382.15</v>
      </c>
      <c r="F15" s="90">
        <v>1080.4728814300001</v>
      </c>
      <c r="G15" s="90">
        <v>0</v>
      </c>
      <c r="H15" s="90">
        <v>2474.0694170100005</v>
      </c>
      <c r="I15" s="88">
        <f t="shared" si="2"/>
        <v>128.26499981999996</v>
      </c>
      <c r="J15" s="477">
        <v>1040.8889717500001</v>
      </c>
      <c r="K15" s="478">
        <f t="shared" si="3"/>
        <v>2194.9817540399999</v>
      </c>
      <c r="L15" s="460">
        <v>1108</v>
      </c>
      <c r="M15" s="460">
        <v>1086.9817540399999</v>
      </c>
      <c r="N15" s="460">
        <v>0</v>
      </c>
      <c r="O15" s="460">
        <v>2373.6631110000003</v>
      </c>
      <c r="P15" s="460">
        <v>1320</v>
      </c>
      <c r="Q15" s="461"/>
      <c r="R15" s="462">
        <v>0</v>
      </c>
      <c r="S15" s="495">
        <v>160</v>
      </c>
      <c r="T15" s="497">
        <v>192.6</v>
      </c>
      <c r="U15" s="495">
        <v>102</v>
      </c>
      <c r="V15" s="497">
        <v>132</v>
      </c>
      <c r="W15" s="495"/>
      <c r="X15" s="536">
        <v>238.92</v>
      </c>
      <c r="Y15" s="537">
        <v>179</v>
      </c>
      <c r="Z15" s="537">
        <v>236.3</v>
      </c>
      <c r="AA15" s="602"/>
      <c r="AB15" s="592"/>
      <c r="AC15" s="602"/>
      <c r="AD15" s="592">
        <v>1.32</v>
      </c>
      <c r="AE15" s="591"/>
      <c r="AF15" s="591">
        <v>70.62</v>
      </c>
      <c r="AG15" s="485">
        <v>91.224999999999994</v>
      </c>
      <c r="AH15" s="88">
        <f t="shared" si="4"/>
        <v>862.20761478999975</v>
      </c>
      <c r="AI15" s="26"/>
      <c r="AJ15" s="485"/>
      <c r="AK15" s="503"/>
      <c r="AL15" s="127"/>
      <c r="AM15" s="374"/>
      <c r="AN15" s="375"/>
      <c r="AO15" s="59"/>
      <c r="AP15" s="26"/>
    </row>
    <row r="16" spans="1:43" s="32" customFormat="1" ht="31.5" customHeight="1" x14ac:dyDescent="0.25">
      <c r="A16" s="19">
        <v>9</v>
      </c>
      <c r="B16" s="20" t="s">
        <v>13</v>
      </c>
      <c r="C16" s="84">
        <v>1.1195914500001436</v>
      </c>
      <c r="D16" s="85">
        <f t="shared" si="1"/>
        <v>1886.5624286900002</v>
      </c>
      <c r="E16" s="90">
        <v>1059.7366770000001</v>
      </c>
      <c r="F16" s="90">
        <v>826.82575169000006</v>
      </c>
      <c r="G16" s="90">
        <v>0</v>
      </c>
      <c r="H16" s="90">
        <v>1863.8586580000001</v>
      </c>
      <c r="I16" s="88">
        <f t="shared" si="2"/>
        <v>23.823362140000199</v>
      </c>
      <c r="J16" s="477">
        <v>6.5324479199998677</v>
      </c>
      <c r="K16" s="478">
        <f t="shared" si="3"/>
        <v>1923.8066294400001</v>
      </c>
      <c r="L16" s="460">
        <v>1092</v>
      </c>
      <c r="M16" s="460">
        <v>831.80662944000005</v>
      </c>
      <c r="N16" s="460">
        <v>0</v>
      </c>
      <c r="O16" s="460">
        <v>1911.9063700000002</v>
      </c>
      <c r="P16" s="460">
        <v>366</v>
      </c>
      <c r="Q16" s="461"/>
      <c r="R16" s="462"/>
      <c r="S16" s="495">
        <v>250</v>
      </c>
      <c r="T16" s="498">
        <v>352.11899999999997</v>
      </c>
      <c r="U16" s="495">
        <v>46</v>
      </c>
      <c r="V16" s="498">
        <v>71.94</v>
      </c>
      <c r="W16" s="495"/>
      <c r="X16" s="536">
        <v>46.2</v>
      </c>
      <c r="Y16" s="537">
        <v>210</v>
      </c>
      <c r="Z16" s="537">
        <v>287.89999999999998</v>
      </c>
      <c r="AA16" s="602">
        <v>30</v>
      </c>
      <c r="AB16" s="592">
        <v>39.6</v>
      </c>
      <c r="AC16" s="602">
        <v>45</v>
      </c>
      <c r="AD16" s="592">
        <v>75.540000000000006</v>
      </c>
      <c r="AE16" s="591"/>
      <c r="AF16" s="591">
        <v>453.34500000000003</v>
      </c>
      <c r="AG16" s="485">
        <v>76.95</v>
      </c>
      <c r="AH16" s="88">
        <f t="shared" si="4"/>
        <v>18.432707359999768</v>
      </c>
      <c r="AI16" s="26"/>
      <c r="AJ16" s="485"/>
      <c r="AK16" s="503"/>
      <c r="AL16" s="127"/>
      <c r="AM16" s="374"/>
      <c r="AN16" s="375"/>
      <c r="AO16" s="59"/>
      <c r="AP16" s="26"/>
    </row>
    <row r="17" spans="1:42" s="32" customFormat="1" ht="31.5" customHeight="1" x14ac:dyDescent="0.25">
      <c r="A17" s="19">
        <v>10</v>
      </c>
      <c r="B17" s="20" t="s">
        <v>14</v>
      </c>
      <c r="C17" s="84">
        <v>101.48552217999986</v>
      </c>
      <c r="D17" s="85">
        <f t="shared" si="1"/>
        <v>1899.1088375499999</v>
      </c>
      <c r="E17" s="90">
        <v>1170</v>
      </c>
      <c r="F17" s="90">
        <v>725.30883754999991</v>
      </c>
      <c r="G17" s="90">
        <v>3.8</v>
      </c>
      <c r="H17" s="90">
        <v>1983.338125</v>
      </c>
      <c r="I17" s="88">
        <f t="shared" si="2"/>
        <v>17.256234729999733</v>
      </c>
      <c r="J17" s="477">
        <v>9.916560150000123</v>
      </c>
      <c r="K17" s="478">
        <f t="shared" si="3"/>
        <v>1933.4481679099999</v>
      </c>
      <c r="L17" s="460">
        <v>1203.2</v>
      </c>
      <c r="M17" s="460">
        <v>729.67816790999996</v>
      </c>
      <c r="N17" s="460">
        <v>0.56999999999999995</v>
      </c>
      <c r="O17" s="460">
        <v>1914.5230417500002</v>
      </c>
      <c r="P17" s="460">
        <v>452.4</v>
      </c>
      <c r="Q17" s="461"/>
      <c r="R17" s="462">
        <v>0</v>
      </c>
      <c r="S17" s="495">
        <v>313</v>
      </c>
      <c r="T17" s="498">
        <v>385.24619999999999</v>
      </c>
      <c r="U17" s="495">
        <v>34</v>
      </c>
      <c r="V17" s="498">
        <v>45.99</v>
      </c>
      <c r="W17" s="495"/>
      <c r="X17" s="536">
        <v>93.99</v>
      </c>
      <c r="Y17" s="537">
        <v>200</v>
      </c>
      <c r="Z17" s="537">
        <v>220.6</v>
      </c>
      <c r="AA17" s="601">
        <v>35</v>
      </c>
      <c r="AB17" s="592">
        <v>25.99</v>
      </c>
      <c r="AC17" s="602">
        <v>15</v>
      </c>
      <c r="AD17" s="592">
        <v>9.99</v>
      </c>
      <c r="AE17" s="591"/>
      <c r="AF17" s="591">
        <v>12.664999999999999</v>
      </c>
      <c r="AG17" s="485">
        <v>92.05</v>
      </c>
      <c r="AH17" s="88">
        <f t="shared" si="4"/>
        <v>28.841686309999886</v>
      </c>
      <c r="AI17" s="26"/>
      <c r="AJ17" s="485"/>
      <c r="AK17" s="503"/>
      <c r="AL17" s="127"/>
      <c r="AM17" s="374"/>
      <c r="AN17" s="485"/>
      <c r="AO17" s="59"/>
      <c r="AP17" s="485"/>
    </row>
    <row r="18" spans="1:42" s="32" customFormat="1" ht="31.5" customHeight="1" x14ac:dyDescent="0.25">
      <c r="A18" s="19">
        <v>11</v>
      </c>
      <c r="B18" s="20" t="s">
        <v>15</v>
      </c>
      <c r="C18" s="84">
        <v>4.9037842600000658</v>
      </c>
      <c r="D18" s="85">
        <f t="shared" si="1"/>
        <v>1843.2547755999999</v>
      </c>
      <c r="E18" s="90">
        <v>1300.96</v>
      </c>
      <c r="F18" s="90">
        <v>542.29477559999998</v>
      </c>
      <c r="G18" s="90">
        <v>0</v>
      </c>
      <c r="H18" s="90">
        <v>1776.5907259999999</v>
      </c>
      <c r="I18" s="88">
        <f t="shared" si="2"/>
        <v>71.567833860000064</v>
      </c>
      <c r="J18" s="477">
        <v>7.5508275199999844</v>
      </c>
      <c r="K18" s="478">
        <f t="shared" si="3"/>
        <v>1245.8666116099998</v>
      </c>
      <c r="L18" s="460">
        <v>700.30499999999995</v>
      </c>
      <c r="M18" s="460">
        <v>545.56161161</v>
      </c>
      <c r="N18" s="460">
        <v>0</v>
      </c>
      <c r="O18" s="460">
        <v>1240.2741000000001</v>
      </c>
      <c r="P18" s="460">
        <f>106.656-1.056</f>
        <v>105.60000000000001</v>
      </c>
      <c r="Q18" s="461">
        <v>248</v>
      </c>
      <c r="R18" s="462">
        <v>301.78800000000001</v>
      </c>
      <c r="S18" s="495">
        <v>0</v>
      </c>
      <c r="T18" s="498"/>
      <c r="U18" s="495">
        <v>63</v>
      </c>
      <c r="V18" s="498">
        <v>76.349999999999994</v>
      </c>
      <c r="W18" s="495">
        <v>9</v>
      </c>
      <c r="X18" s="536">
        <v>10.907999999999999</v>
      </c>
      <c r="Y18" s="537">
        <v>144</v>
      </c>
      <c r="Z18" s="537">
        <v>191.98</v>
      </c>
      <c r="AA18" s="602">
        <v>18</v>
      </c>
      <c r="AB18" s="592">
        <v>23.76</v>
      </c>
      <c r="AC18" s="602">
        <v>44</v>
      </c>
      <c r="AD18" s="592">
        <v>58</v>
      </c>
      <c r="AE18" s="591"/>
      <c r="AF18" s="591">
        <v>162.65</v>
      </c>
      <c r="AG18" s="485">
        <v>49.15</v>
      </c>
      <c r="AH18" s="88">
        <f t="shared" si="4"/>
        <v>13.143339129999731</v>
      </c>
      <c r="AI18" s="26"/>
      <c r="AJ18" s="485"/>
      <c r="AK18" s="503"/>
      <c r="AL18" s="127"/>
      <c r="AM18" s="374"/>
      <c r="AN18" s="375"/>
      <c r="AO18" s="59"/>
      <c r="AP18" s="26"/>
    </row>
    <row r="19" spans="1:42" s="32" customFormat="1" ht="31.5" customHeight="1" x14ac:dyDescent="0.25">
      <c r="A19" s="19">
        <v>12</v>
      </c>
      <c r="B19" s="20" t="s">
        <v>16</v>
      </c>
      <c r="C19" s="84">
        <v>115.31831268000019</v>
      </c>
      <c r="D19" s="85">
        <f t="shared" si="1"/>
        <v>2074.6053399100001</v>
      </c>
      <c r="E19" s="90">
        <v>1312.55</v>
      </c>
      <c r="F19" s="90">
        <v>762.05533990999993</v>
      </c>
      <c r="G19" s="90">
        <v>0</v>
      </c>
      <c r="H19" s="90">
        <v>2159.4844280000002</v>
      </c>
      <c r="I19" s="88">
        <f t="shared" si="2"/>
        <v>30.439224590000322</v>
      </c>
      <c r="J19" s="477">
        <v>114.61997370000017</v>
      </c>
      <c r="K19" s="478">
        <f t="shared" si="3"/>
        <v>2087.0200346199999</v>
      </c>
      <c r="L19" s="460">
        <v>1312.55</v>
      </c>
      <c r="M19" s="460">
        <v>774.47003461999998</v>
      </c>
      <c r="N19" s="460">
        <v>0</v>
      </c>
      <c r="O19" s="460">
        <v>1633.8653999999999</v>
      </c>
      <c r="P19" s="460">
        <v>484.8</v>
      </c>
      <c r="Q19" s="461">
        <v>300</v>
      </c>
      <c r="R19" s="462">
        <v>181.8</v>
      </c>
      <c r="S19" s="495">
        <v>513</v>
      </c>
      <c r="T19" s="498">
        <v>439.92</v>
      </c>
      <c r="U19" s="495">
        <v>50</v>
      </c>
      <c r="V19" s="498">
        <v>67.900000000000006</v>
      </c>
      <c r="W19" s="495"/>
      <c r="X19" s="536">
        <v>54.661000000000001</v>
      </c>
      <c r="Y19" s="537">
        <v>171</v>
      </c>
      <c r="Z19" s="537">
        <v>225.6</v>
      </c>
      <c r="AA19" s="602">
        <v>5</v>
      </c>
      <c r="AB19" s="592">
        <v>6.66</v>
      </c>
      <c r="AC19" s="602"/>
      <c r="AD19" s="592"/>
      <c r="AE19" s="591"/>
      <c r="AF19" s="591"/>
      <c r="AG19" s="485">
        <v>20.649000000000001</v>
      </c>
      <c r="AH19" s="88">
        <f t="shared" si="4"/>
        <v>567.7746083200002</v>
      </c>
      <c r="AI19" s="26"/>
      <c r="AJ19" s="485"/>
      <c r="AK19" s="503"/>
      <c r="AL19" s="127"/>
      <c r="AM19" s="374"/>
      <c r="AN19" s="375"/>
      <c r="AO19" s="59"/>
      <c r="AP19" s="26"/>
    </row>
    <row r="20" spans="1:42" s="32" customFormat="1" ht="31.5" customHeight="1" x14ac:dyDescent="0.25">
      <c r="A20" s="19">
        <v>13</v>
      </c>
      <c r="B20" s="20" t="s">
        <v>17</v>
      </c>
      <c r="C20" s="84">
        <v>51.495252070000106</v>
      </c>
      <c r="D20" s="85">
        <f t="shared" si="1"/>
        <v>1903.49095319</v>
      </c>
      <c r="E20" s="90">
        <v>1188.57</v>
      </c>
      <c r="F20" s="90">
        <v>714.92095319000009</v>
      </c>
      <c r="G20" s="90">
        <v>0</v>
      </c>
      <c r="H20" s="90">
        <v>1917.9692349000002</v>
      </c>
      <c r="I20" s="88">
        <f t="shared" si="2"/>
        <v>37.016970359999959</v>
      </c>
      <c r="J20" s="477">
        <v>126.20172158000014</v>
      </c>
      <c r="K20" s="478">
        <f t="shared" si="3"/>
        <v>1907.7977059099999</v>
      </c>
      <c r="L20" s="460">
        <v>1188.57</v>
      </c>
      <c r="M20" s="460">
        <v>719.22770590999994</v>
      </c>
      <c r="N20" s="460">
        <v>0</v>
      </c>
      <c r="O20" s="460">
        <v>1902.7738589999999</v>
      </c>
      <c r="P20" s="460">
        <v>393.6</v>
      </c>
      <c r="Q20" s="461"/>
      <c r="R20" s="462">
        <v>0</v>
      </c>
      <c r="S20" s="495">
        <v>419</v>
      </c>
      <c r="T20" s="498">
        <v>252.6</v>
      </c>
      <c r="U20" s="495">
        <v>0</v>
      </c>
      <c r="V20" s="498"/>
      <c r="W20" s="495"/>
      <c r="X20" s="536"/>
      <c r="Y20" s="537">
        <v>651</v>
      </c>
      <c r="Z20" s="537">
        <v>442.86</v>
      </c>
      <c r="AA20" s="602"/>
      <c r="AB20" s="592"/>
      <c r="AC20" s="602"/>
      <c r="AD20" s="592"/>
      <c r="AE20" s="591"/>
      <c r="AF20" s="591"/>
      <c r="AG20" s="485">
        <v>103.4</v>
      </c>
      <c r="AH20" s="88">
        <f t="shared" si="4"/>
        <v>131.22556849000011</v>
      </c>
      <c r="AI20" s="26"/>
      <c r="AJ20" s="485"/>
      <c r="AK20" s="503"/>
      <c r="AL20" s="127"/>
      <c r="AM20" s="374"/>
      <c r="AN20" s="375"/>
      <c r="AO20" s="59"/>
      <c r="AP20" s="26"/>
    </row>
    <row r="21" spans="1:42" s="32" customFormat="1" ht="31.5" customHeight="1" thickBot="1" x14ac:dyDescent="0.3">
      <c r="A21" s="21">
        <v>14</v>
      </c>
      <c r="B21" s="22" t="s">
        <v>18</v>
      </c>
      <c r="C21" s="91">
        <v>84.254992160000029</v>
      </c>
      <c r="D21" s="92">
        <f t="shared" si="1"/>
        <v>1654.62325878</v>
      </c>
      <c r="E21" s="274">
        <v>1197.33</v>
      </c>
      <c r="F21" s="152">
        <v>449.23025877999999</v>
      </c>
      <c r="G21" s="152">
        <v>8.0630000000000006</v>
      </c>
      <c r="H21" s="152">
        <v>1720.3450820999997</v>
      </c>
      <c r="I21" s="95">
        <f t="shared" si="2"/>
        <v>18.533168840000371</v>
      </c>
      <c r="J21" s="479">
        <v>136.08666588000006</v>
      </c>
      <c r="K21" s="480">
        <f t="shared" si="3"/>
        <v>1649.26646501</v>
      </c>
      <c r="L21" s="274">
        <v>1197.33</v>
      </c>
      <c r="M21" s="274">
        <v>451.93646501000001</v>
      </c>
      <c r="N21" s="274">
        <v>0</v>
      </c>
      <c r="O21" s="274">
        <v>1697.9639999999999</v>
      </c>
      <c r="P21" s="274">
        <v>444</v>
      </c>
      <c r="Q21" s="475">
        <v>242</v>
      </c>
      <c r="R21" s="476">
        <v>145.19999999999999</v>
      </c>
      <c r="S21" s="499">
        <v>0</v>
      </c>
      <c r="T21" s="500"/>
      <c r="U21" s="499">
        <v>572</v>
      </c>
      <c r="V21" s="500">
        <v>377.52</v>
      </c>
      <c r="W21" s="495">
        <v>4</v>
      </c>
      <c r="X21" s="536">
        <v>2.64</v>
      </c>
      <c r="Y21" s="537">
        <v>388</v>
      </c>
      <c r="Z21" s="537">
        <v>314.16000000000003</v>
      </c>
      <c r="AA21" s="602"/>
      <c r="AB21" s="592"/>
      <c r="AC21" s="602"/>
      <c r="AD21" s="592"/>
      <c r="AE21" s="591"/>
      <c r="AF21" s="591">
        <v>6.6660000000000004</v>
      </c>
      <c r="AG21" s="485">
        <v>33.85</v>
      </c>
      <c r="AH21" s="88">
        <f t="shared" si="4"/>
        <v>87.38913089000016</v>
      </c>
      <c r="AI21" s="26"/>
      <c r="AJ21" s="485"/>
      <c r="AK21" s="503"/>
      <c r="AL21" s="127"/>
      <c r="AM21" s="374"/>
      <c r="AN21" s="375"/>
      <c r="AO21" s="59"/>
      <c r="AP21" s="26"/>
    </row>
    <row r="22" spans="1:42" x14ac:dyDescent="0.25">
      <c r="AH22" s="351"/>
      <c r="AI22" s="99"/>
      <c r="AJ22" s="485"/>
      <c r="AK22" s="503"/>
      <c r="AO22" s="26"/>
    </row>
    <row r="23" spans="1:42" x14ac:dyDescent="0.25">
      <c r="AD23" s="34">
        <v>1.32</v>
      </c>
      <c r="AH23" s="351"/>
    </row>
    <row r="24" spans="1:42" x14ac:dyDescent="0.25">
      <c r="AD24" s="34">
        <f>+AD10/AD23</f>
        <v>115</v>
      </c>
      <c r="AH24" s="351"/>
    </row>
    <row r="25" spans="1:42" x14ac:dyDescent="0.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351"/>
    </row>
    <row r="26" spans="1:42" x14ac:dyDescent="0.25">
      <c r="H26" s="153"/>
      <c r="AI26" s="351"/>
    </row>
    <row r="27" spans="1:42" x14ac:dyDescent="0.25">
      <c r="I27" s="26"/>
      <c r="AI27" s="351"/>
    </row>
    <row r="28" spans="1:42" x14ac:dyDescent="0.25">
      <c r="AI28" s="351"/>
    </row>
  </sheetData>
  <mergeCells count="28">
    <mergeCell ref="Y6:Z6"/>
    <mergeCell ref="AA6:AB6"/>
    <mergeCell ref="AC6:AD6"/>
    <mergeCell ref="U6:V6"/>
    <mergeCell ref="S6:T6"/>
    <mergeCell ref="W6:X6"/>
    <mergeCell ref="Q6:R6"/>
    <mergeCell ref="A7:B7"/>
    <mergeCell ref="E5:G5"/>
    <mergeCell ref="H5:H6"/>
    <mergeCell ref="I5:I6"/>
    <mergeCell ref="J5:J6"/>
    <mergeCell ref="AE6:AF6"/>
    <mergeCell ref="A1:AH1"/>
    <mergeCell ref="B2:AH2"/>
    <mergeCell ref="A3:B3"/>
    <mergeCell ref="O3:AH3"/>
    <mergeCell ref="A4:A6"/>
    <mergeCell ref="B4:B6"/>
    <mergeCell ref="C4:I4"/>
    <mergeCell ref="J4:AH4"/>
    <mergeCell ref="C5:C6"/>
    <mergeCell ref="D5:D6"/>
    <mergeCell ref="K5:K6"/>
    <mergeCell ref="L5:N5"/>
    <mergeCell ref="O5:O6"/>
    <mergeCell ref="AH5:AH6"/>
    <mergeCell ref="P5:AG5"/>
  </mergeCells>
  <printOptions horizontalCentered="1" verticalCentered="1"/>
  <pageMargins left="0" right="0" top="0" bottom="0" header="0.39370078740157483" footer="0.39370078740157483"/>
  <pageSetup paperSize="9" scale="5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O189"/>
  <sheetViews>
    <sheetView topLeftCell="E1" zoomScale="85" zoomScaleNormal="85" workbookViewId="0">
      <selection activeCell="O36" sqref="O36:O48"/>
    </sheetView>
  </sheetViews>
  <sheetFormatPr defaultRowHeight="15" x14ac:dyDescent="0.25"/>
  <cols>
    <col min="1" max="1" width="6.140625" customWidth="1"/>
    <col min="2" max="2" width="10.7109375" bestFit="1" customWidth="1"/>
    <col min="3" max="3" width="36.5703125" bestFit="1" customWidth="1"/>
    <col min="4" max="4" width="29.140625" bestFit="1" customWidth="1"/>
    <col min="5" max="5" width="35.85546875" bestFit="1" customWidth="1"/>
    <col min="6" max="6" width="12.42578125" bestFit="1" customWidth="1"/>
    <col min="7" max="7" width="15.5703125" bestFit="1" customWidth="1"/>
    <col min="8" max="8" width="36.5703125" bestFit="1" customWidth="1"/>
    <col min="9" max="9" width="22" bestFit="1" customWidth="1"/>
    <col min="10" max="10" width="16" bestFit="1" customWidth="1"/>
    <col min="11" max="11" width="15.28515625" bestFit="1" customWidth="1"/>
    <col min="12" max="12" width="17.5703125" bestFit="1" customWidth="1"/>
    <col min="13" max="13" width="80.7109375" customWidth="1"/>
    <col min="14" max="14" width="15.42578125" bestFit="1" customWidth="1"/>
    <col min="15" max="15" width="13.85546875" bestFit="1" customWidth="1"/>
  </cols>
  <sheetData>
    <row r="2" spans="1:13" x14ac:dyDescent="0.25">
      <c r="A2" s="645" t="s">
        <v>217</v>
      </c>
      <c r="B2" s="645"/>
      <c r="C2" s="645"/>
      <c r="D2" s="645"/>
      <c r="E2" s="645"/>
      <c r="F2" s="645"/>
      <c r="G2" s="646" t="s">
        <v>218</v>
      </c>
      <c r="H2" s="646"/>
      <c r="I2" s="646"/>
      <c r="J2" s="646"/>
      <c r="K2" s="646"/>
      <c r="L2" s="646"/>
      <c r="M2" s="646"/>
    </row>
    <row r="3" spans="1:13" x14ac:dyDescent="0.25">
      <c r="A3" s="645" t="s">
        <v>219</v>
      </c>
      <c r="B3" s="645"/>
      <c r="C3" s="645"/>
      <c r="D3" s="645"/>
      <c r="E3" s="645"/>
      <c r="F3" s="645"/>
      <c r="G3" s="646" t="s">
        <v>448</v>
      </c>
      <c r="H3" s="646"/>
      <c r="I3" s="646"/>
      <c r="J3" s="646"/>
      <c r="K3" s="646"/>
      <c r="L3" s="646"/>
      <c r="M3" s="646"/>
    </row>
    <row r="4" spans="1:13" x14ac:dyDescent="0.25">
      <c r="A4" s="645" t="s">
        <v>220</v>
      </c>
      <c r="B4" s="645"/>
      <c r="C4" s="645"/>
      <c r="D4" s="645"/>
      <c r="E4" s="645"/>
      <c r="F4" s="645"/>
      <c r="G4" s="645"/>
      <c r="H4" s="645"/>
      <c r="I4" s="645"/>
      <c r="J4" s="645"/>
      <c r="K4" s="645"/>
      <c r="L4" s="645"/>
    </row>
    <row r="5" spans="1:13" x14ac:dyDescent="0.25">
      <c r="A5" s="644" t="s">
        <v>221</v>
      </c>
      <c r="B5" s="644"/>
      <c r="C5" s="644"/>
      <c r="D5" s="644"/>
      <c r="E5" s="644"/>
      <c r="F5" s="644"/>
      <c r="G5" s="644"/>
      <c r="H5" s="644"/>
      <c r="I5" s="644"/>
      <c r="J5" s="644"/>
      <c r="K5" s="644"/>
      <c r="L5" s="644"/>
    </row>
    <row r="6" spans="1:13" x14ac:dyDescent="0.25">
      <c r="A6" s="644" t="s">
        <v>34</v>
      </c>
      <c r="B6" s="644"/>
      <c r="C6" s="644"/>
      <c r="D6" s="644"/>
      <c r="E6" s="644"/>
      <c r="F6" s="644"/>
      <c r="G6" s="644"/>
      <c r="H6" s="644"/>
      <c r="I6" s="644"/>
      <c r="J6" s="644"/>
      <c r="K6" s="644"/>
      <c r="L6" s="644"/>
    </row>
    <row r="7" spans="1:13" x14ac:dyDescent="0.25">
      <c r="A7" s="644" t="s">
        <v>449</v>
      </c>
      <c r="B7" s="644"/>
      <c r="C7" s="644"/>
      <c r="D7" s="644"/>
      <c r="E7" s="644"/>
      <c r="F7" s="644"/>
      <c r="G7" s="644"/>
      <c r="H7" s="644"/>
      <c r="I7" s="644"/>
      <c r="J7" s="644"/>
      <c r="K7" s="644"/>
      <c r="L7" s="644"/>
    </row>
    <row r="8" spans="1:13" x14ac:dyDescent="0.25">
      <c r="A8" s="645" t="s">
        <v>450</v>
      </c>
      <c r="B8" s="645"/>
      <c r="C8" s="645"/>
      <c r="D8" s="645"/>
      <c r="E8" s="645"/>
      <c r="F8" s="645"/>
      <c r="G8" s="645"/>
      <c r="H8" s="645"/>
      <c r="I8" s="645"/>
      <c r="J8" s="646" t="s">
        <v>24</v>
      </c>
      <c r="K8" s="646"/>
      <c r="L8" s="646"/>
      <c r="M8" s="646"/>
    </row>
    <row r="9" spans="1:13" ht="25.5" x14ac:dyDescent="0.25">
      <c r="A9" s="156" t="s">
        <v>222</v>
      </c>
      <c r="B9" s="156" t="s">
        <v>223</v>
      </c>
      <c r="C9" s="156" t="s">
        <v>224</v>
      </c>
      <c r="D9" s="156" t="s">
        <v>225</v>
      </c>
      <c r="E9" s="156" t="s">
        <v>226</v>
      </c>
      <c r="F9" s="156" t="s">
        <v>227</v>
      </c>
      <c r="G9" s="156" t="s">
        <v>228</v>
      </c>
      <c r="H9" s="156" t="s">
        <v>229</v>
      </c>
      <c r="I9" s="156" t="s">
        <v>230</v>
      </c>
      <c r="J9" s="156" t="s">
        <v>231</v>
      </c>
      <c r="K9" s="156" t="s">
        <v>232</v>
      </c>
      <c r="L9" s="156" t="s">
        <v>204</v>
      </c>
      <c r="M9" s="156" t="s">
        <v>233</v>
      </c>
    </row>
    <row r="10" spans="1:13" hidden="1" x14ac:dyDescent="0.25">
      <c r="A10" s="641" t="s">
        <v>41</v>
      </c>
      <c r="B10" s="642"/>
      <c r="C10" s="642"/>
      <c r="D10" s="642"/>
      <c r="E10" s="642"/>
      <c r="F10" s="642"/>
      <c r="G10" s="642"/>
      <c r="H10" s="642"/>
      <c r="I10" s="642"/>
      <c r="J10" s="642"/>
      <c r="K10" s="643"/>
      <c r="L10" s="345"/>
      <c r="M10" s="284"/>
    </row>
    <row r="11" spans="1:13" ht="39" hidden="1" x14ac:dyDescent="0.25">
      <c r="A11" s="346"/>
      <c r="B11" s="347">
        <v>44933</v>
      </c>
      <c r="C11" s="346" t="s">
        <v>234</v>
      </c>
      <c r="D11" s="284" t="s">
        <v>235</v>
      </c>
      <c r="E11" s="284" t="s">
        <v>259</v>
      </c>
      <c r="F11" s="284">
        <v>991500002</v>
      </c>
      <c r="G11" s="284">
        <v>44821140</v>
      </c>
      <c r="H11" s="346" t="s">
        <v>261</v>
      </c>
      <c r="I11" s="284" t="s">
        <v>262</v>
      </c>
      <c r="J11" s="284">
        <v>14</v>
      </c>
      <c r="K11" s="284">
        <v>201122919</v>
      </c>
      <c r="L11" s="348">
        <v>100000</v>
      </c>
      <c r="M11" s="346" t="s">
        <v>451</v>
      </c>
    </row>
    <row r="12" spans="1:13" ht="64.5" hidden="1" x14ac:dyDescent="0.25">
      <c r="A12" s="346"/>
      <c r="B12" s="347">
        <v>44943</v>
      </c>
      <c r="C12" s="346" t="s">
        <v>234</v>
      </c>
      <c r="D12" s="284" t="s">
        <v>235</v>
      </c>
      <c r="E12" s="284" t="s">
        <v>236</v>
      </c>
      <c r="F12" s="284">
        <v>3629700022</v>
      </c>
      <c r="G12" s="284">
        <v>44821190</v>
      </c>
      <c r="H12" s="346" t="s">
        <v>452</v>
      </c>
      <c r="I12" s="284" t="s">
        <v>453</v>
      </c>
      <c r="J12" s="284">
        <v>1037</v>
      </c>
      <c r="K12" s="284">
        <v>309078465</v>
      </c>
      <c r="L12" s="348">
        <v>8944860</v>
      </c>
      <c r="M12" s="346" t="s">
        <v>454</v>
      </c>
    </row>
    <row r="13" spans="1:13" ht="64.5" hidden="1" x14ac:dyDescent="0.25">
      <c r="A13" s="346"/>
      <c r="B13" s="347">
        <v>44943</v>
      </c>
      <c r="C13" s="346" t="s">
        <v>234</v>
      </c>
      <c r="D13" s="284" t="s">
        <v>235</v>
      </c>
      <c r="E13" s="284" t="s">
        <v>236</v>
      </c>
      <c r="F13" s="284">
        <v>3629700021</v>
      </c>
      <c r="G13" s="284">
        <v>44821190</v>
      </c>
      <c r="H13" s="346" t="s">
        <v>452</v>
      </c>
      <c r="I13" s="284" t="s">
        <v>453</v>
      </c>
      <c r="J13" s="284">
        <v>1037</v>
      </c>
      <c r="K13" s="284">
        <v>309078465</v>
      </c>
      <c r="L13" s="348">
        <v>8972524</v>
      </c>
      <c r="M13" s="346" t="s">
        <v>455</v>
      </c>
    </row>
    <row r="14" spans="1:13" ht="77.25" hidden="1" x14ac:dyDescent="0.25">
      <c r="A14" s="346"/>
      <c r="B14" s="347">
        <v>44946</v>
      </c>
      <c r="C14" s="346" t="s">
        <v>234</v>
      </c>
      <c r="D14" s="284" t="s">
        <v>235</v>
      </c>
      <c r="E14" s="284" t="s">
        <v>236</v>
      </c>
      <c r="F14" s="284">
        <v>3629700024</v>
      </c>
      <c r="G14" s="284">
        <v>44821190</v>
      </c>
      <c r="H14" s="346" t="s">
        <v>325</v>
      </c>
      <c r="I14" s="284" t="s">
        <v>456</v>
      </c>
      <c r="J14" s="284">
        <v>1037</v>
      </c>
      <c r="K14" s="284">
        <v>206916313</v>
      </c>
      <c r="L14" s="348">
        <v>10000000</v>
      </c>
      <c r="M14" s="346" t="s">
        <v>457</v>
      </c>
    </row>
    <row r="15" spans="1:13" ht="39" hidden="1" x14ac:dyDescent="0.25">
      <c r="A15" s="346"/>
      <c r="B15" s="347">
        <v>44951</v>
      </c>
      <c r="C15" s="346" t="s">
        <v>234</v>
      </c>
      <c r="D15" s="284" t="s">
        <v>235</v>
      </c>
      <c r="E15" s="284" t="s">
        <v>259</v>
      </c>
      <c r="F15" s="284" t="s">
        <v>458</v>
      </c>
      <c r="G15" s="284">
        <v>44821190</v>
      </c>
      <c r="H15" s="346" t="s">
        <v>261</v>
      </c>
      <c r="I15" s="284" t="s">
        <v>262</v>
      </c>
      <c r="J15" s="284">
        <v>14</v>
      </c>
      <c r="K15" s="284">
        <v>201122919</v>
      </c>
      <c r="L15" s="348">
        <v>12015000</v>
      </c>
      <c r="M15" s="346" t="s">
        <v>459</v>
      </c>
    </row>
    <row r="16" spans="1:13" ht="39" hidden="1" x14ac:dyDescent="0.25">
      <c r="A16" s="346"/>
      <c r="B16" s="347">
        <v>44952</v>
      </c>
      <c r="C16" s="346" t="s">
        <v>234</v>
      </c>
      <c r="D16" s="284" t="s">
        <v>235</v>
      </c>
      <c r="E16" s="284" t="s">
        <v>259</v>
      </c>
      <c r="F16" s="284" t="s">
        <v>460</v>
      </c>
      <c r="G16" s="284">
        <v>44821190</v>
      </c>
      <c r="H16" s="346" t="s">
        <v>261</v>
      </c>
      <c r="I16" s="284" t="s">
        <v>262</v>
      </c>
      <c r="J16" s="284">
        <v>14</v>
      </c>
      <c r="K16" s="284">
        <v>201122919</v>
      </c>
      <c r="L16" s="348">
        <v>12376000</v>
      </c>
      <c r="M16" s="346" t="s">
        <v>461</v>
      </c>
    </row>
    <row r="17" spans="1:13" ht="39" hidden="1" x14ac:dyDescent="0.25">
      <c r="A17" s="346"/>
      <c r="B17" s="347">
        <v>44952</v>
      </c>
      <c r="C17" s="346" t="s">
        <v>234</v>
      </c>
      <c r="D17" s="284" t="s">
        <v>235</v>
      </c>
      <c r="E17" s="284" t="s">
        <v>259</v>
      </c>
      <c r="F17" s="284" t="s">
        <v>462</v>
      </c>
      <c r="G17" s="284">
        <v>44821190</v>
      </c>
      <c r="H17" s="346" t="s">
        <v>261</v>
      </c>
      <c r="I17" s="284" t="s">
        <v>262</v>
      </c>
      <c r="J17" s="284">
        <v>14</v>
      </c>
      <c r="K17" s="284">
        <v>201122919</v>
      </c>
      <c r="L17" s="348">
        <v>12015000</v>
      </c>
      <c r="M17" s="346" t="s">
        <v>463</v>
      </c>
    </row>
    <row r="18" spans="1:13" ht="39" hidden="1" x14ac:dyDescent="0.25">
      <c r="A18" s="346"/>
      <c r="B18" s="347">
        <v>44952</v>
      </c>
      <c r="C18" s="346" t="s">
        <v>234</v>
      </c>
      <c r="D18" s="284" t="s">
        <v>235</v>
      </c>
      <c r="E18" s="284" t="s">
        <v>259</v>
      </c>
      <c r="F18" s="284" t="s">
        <v>464</v>
      </c>
      <c r="G18" s="284">
        <v>44821190</v>
      </c>
      <c r="H18" s="346" t="s">
        <v>261</v>
      </c>
      <c r="I18" s="284" t="s">
        <v>262</v>
      </c>
      <c r="J18" s="284">
        <v>14</v>
      </c>
      <c r="K18" s="284">
        <v>201122919</v>
      </c>
      <c r="L18" s="348">
        <v>12015000</v>
      </c>
      <c r="M18" s="346" t="s">
        <v>465</v>
      </c>
    </row>
    <row r="19" spans="1:13" ht="39" hidden="1" x14ac:dyDescent="0.25">
      <c r="A19" s="346"/>
      <c r="B19" s="347">
        <v>44956</v>
      </c>
      <c r="C19" s="346" t="s">
        <v>234</v>
      </c>
      <c r="D19" s="284" t="s">
        <v>235</v>
      </c>
      <c r="E19" s="284" t="s">
        <v>259</v>
      </c>
      <c r="F19" s="284" t="s">
        <v>466</v>
      </c>
      <c r="G19" s="284">
        <v>44821190</v>
      </c>
      <c r="H19" s="346" t="s">
        <v>261</v>
      </c>
      <c r="I19" s="284" t="s">
        <v>262</v>
      </c>
      <c r="J19" s="284">
        <v>14</v>
      </c>
      <c r="K19" s="284">
        <v>201122919</v>
      </c>
      <c r="L19" s="348">
        <v>12015000</v>
      </c>
      <c r="M19" s="346" t="s">
        <v>467</v>
      </c>
    </row>
    <row r="20" spans="1:13" ht="39" hidden="1" x14ac:dyDescent="0.25">
      <c r="A20" s="346"/>
      <c r="B20" s="347">
        <v>44956</v>
      </c>
      <c r="C20" s="346" t="s">
        <v>234</v>
      </c>
      <c r="D20" s="284" t="s">
        <v>235</v>
      </c>
      <c r="E20" s="284" t="s">
        <v>259</v>
      </c>
      <c r="F20" s="284" t="s">
        <v>468</v>
      </c>
      <c r="G20" s="284">
        <v>44821190</v>
      </c>
      <c r="H20" s="346" t="s">
        <v>261</v>
      </c>
      <c r="I20" s="284" t="s">
        <v>262</v>
      </c>
      <c r="J20" s="284">
        <v>14</v>
      </c>
      <c r="K20" s="284">
        <v>201122919</v>
      </c>
      <c r="L20" s="348">
        <v>12015000</v>
      </c>
      <c r="M20" s="346" t="s">
        <v>469</v>
      </c>
    </row>
    <row r="21" spans="1:13" ht="39" hidden="1" x14ac:dyDescent="0.25">
      <c r="A21" s="346"/>
      <c r="B21" s="347">
        <v>44956</v>
      </c>
      <c r="C21" s="346" t="s">
        <v>234</v>
      </c>
      <c r="D21" s="284" t="s">
        <v>235</v>
      </c>
      <c r="E21" s="284" t="s">
        <v>259</v>
      </c>
      <c r="F21" s="284" t="s">
        <v>470</v>
      </c>
      <c r="G21" s="284">
        <v>44821190</v>
      </c>
      <c r="H21" s="346" t="s">
        <v>261</v>
      </c>
      <c r="I21" s="284" t="s">
        <v>262</v>
      </c>
      <c r="J21" s="284">
        <v>14</v>
      </c>
      <c r="K21" s="284">
        <v>201122919</v>
      </c>
      <c r="L21" s="348">
        <v>12015000</v>
      </c>
      <c r="M21" s="346" t="s">
        <v>471</v>
      </c>
    </row>
    <row r="22" spans="1:13" ht="39" hidden="1" x14ac:dyDescent="0.25">
      <c r="A22" s="346"/>
      <c r="B22" s="347">
        <v>44956</v>
      </c>
      <c r="C22" s="346" t="s">
        <v>234</v>
      </c>
      <c r="D22" s="284" t="s">
        <v>235</v>
      </c>
      <c r="E22" s="284" t="s">
        <v>259</v>
      </c>
      <c r="F22" s="284" t="s">
        <v>472</v>
      </c>
      <c r="G22" s="284">
        <v>44821190</v>
      </c>
      <c r="H22" s="346" t="s">
        <v>261</v>
      </c>
      <c r="I22" s="284" t="s">
        <v>262</v>
      </c>
      <c r="J22" s="284">
        <v>14</v>
      </c>
      <c r="K22" s="284">
        <v>201122919</v>
      </c>
      <c r="L22" s="348">
        <v>12015000</v>
      </c>
      <c r="M22" s="346" t="s">
        <v>473</v>
      </c>
    </row>
    <row r="23" spans="1:13" ht="39" hidden="1" x14ac:dyDescent="0.25">
      <c r="A23" s="346"/>
      <c r="B23" s="347">
        <v>44956</v>
      </c>
      <c r="C23" s="346" t="s">
        <v>234</v>
      </c>
      <c r="D23" s="284" t="s">
        <v>235</v>
      </c>
      <c r="E23" s="284" t="s">
        <v>259</v>
      </c>
      <c r="F23" s="284" t="s">
        <v>474</v>
      </c>
      <c r="G23" s="284">
        <v>44821190</v>
      </c>
      <c r="H23" s="346" t="s">
        <v>261</v>
      </c>
      <c r="I23" s="284" t="s">
        <v>262</v>
      </c>
      <c r="J23" s="284">
        <v>14</v>
      </c>
      <c r="K23" s="284">
        <v>201122919</v>
      </c>
      <c r="L23" s="348">
        <v>12015000</v>
      </c>
      <c r="M23" s="346" t="s">
        <v>475</v>
      </c>
    </row>
    <row r="24" spans="1:13" ht="39" hidden="1" x14ac:dyDescent="0.25">
      <c r="A24" s="346"/>
      <c r="B24" s="347">
        <v>44959</v>
      </c>
      <c r="C24" s="346" t="s">
        <v>234</v>
      </c>
      <c r="D24" s="284" t="s">
        <v>235</v>
      </c>
      <c r="E24" s="284" t="s">
        <v>259</v>
      </c>
      <c r="F24" s="284" t="s">
        <v>476</v>
      </c>
      <c r="G24" s="284">
        <v>44821190</v>
      </c>
      <c r="H24" s="346" t="s">
        <v>261</v>
      </c>
      <c r="I24" s="284" t="s">
        <v>262</v>
      </c>
      <c r="J24" s="284">
        <v>14</v>
      </c>
      <c r="K24" s="284">
        <v>201122919</v>
      </c>
      <c r="L24" s="348">
        <v>12000000</v>
      </c>
      <c r="M24" s="346" t="s">
        <v>477</v>
      </c>
    </row>
    <row r="25" spans="1:13" ht="39" hidden="1" x14ac:dyDescent="0.25">
      <c r="A25" s="346"/>
      <c r="B25" s="347">
        <v>44959</v>
      </c>
      <c r="C25" s="346" t="s">
        <v>234</v>
      </c>
      <c r="D25" s="284" t="s">
        <v>235</v>
      </c>
      <c r="E25" s="284" t="s">
        <v>259</v>
      </c>
      <c r="F25" s="284" t="s">
        <v>478</v>
      </c>
      <c r="G25" s="284">
        <v>44821190</v>
      </c>
      <c r="H25" s="346" t="s">
        <v>261</v>
      </c>
      <c r="I25" s="284" t="s">
        <v>262</v>
      </c>
      <c r="J25" s="284">
        <v>14</v>
      </c>
      <c r="K25" s="284">
        <v>201122919</v>
      </c>
      <c r="L25" s="348">
        <v>12000000</v>
      </c>
      <c r="M25" s="346" t="s">
        <v>479</v>
      </c>
    </row>
    <row r="26" spans="1:13" ht="39" hidden="1" x14ac:dyDescent="0.25">
      <c r="A26" s="346"/>
      <c r="B26" s="347">
        <v>44959</v>
      </c>
      <c r="C26" s="346" t="s">
        <v>234</v>
      </c>
      <c r="D26" s="284" t="s">
        <v>235</v>
      </c>
      <c r="E26" s="284" t="s">
        <v>259</v>
      </c>
      <c r="F26" s="284" t="s">
        <v>480</v>
      </c>
      <c r="G26" s="284">
        <v>44821190</v>
      </c>
      <c r="H26" s="346" t="s">
        <v>261</v>
      </c>
      <c r="I26" s="284" t="s">
        <v>262</v>
      </c>
      <c r="J26" s="284">
        <v>14</v>
      </c>
      <c r="K26" s="284">
        <v>201122919</v>
      </c>
      <c r="L26" s="348">
        <v>12000000</v>
      </c>
      <c r="M26" s="346" t="s">
        <v>481</v>
      </c>
    </row>
    <row r="27" spans="1:13" ht="39" hidden="1" x14ac:dyDescent="0.25">
      <c r="A27" s="346"/>
      <c r="B27" s="347">
        <v>44963</v>
      </c>
      <c r="C27" s="346" t="s">
        <v>234</v>
      </c>
      <c r="D27" s="284" t="s">
        <v>235</v>
      </c>
      <c r="E27" s="284" t="s">
        <v>259</v>
      </c>
      <c r="F27" s="284" t="s">
        <v>482</v>
      </c>
      <c r="G27" s="284">
        <v>44821190</v>
      </c>
      <c r="H27" s="346" t="s">
        <v>261</v>
      </c>
      <c r="I27" s="284" t="s">
        <v>262</v>
      </c>
      <c r="J27" s="284">
        <v>14</v>
      </c>
      <c r="K27" s="284">
        <v>201122919</v>
      </c>
      <c r="L27" s="348">
        <v>12015000</v>
      </c>
      <c r="M27" s="346" t="s">
        <v>483</v>
      </c>
    </row>
    <row r="28" spans="1:13" ht="39" hidden="1" x14ac:dyDescent="0.25">
      <c r="A28" s="346"/>
      <c r="B28" s="347">
        <v>44967</v>
      </c>
      <c r="C28" s="346" t="s">
        <v>234</v>
      </c>
      <c r="D28" s="284" t="s">
        <v>235</v>
      </c>
      <c r="E28" s="284" t="s">
        <v>259</v>
      </c>
      <c r="F28" s="284">
        <v>3629700003</v>
      </c>
      <c r="G28" s="284">
        <v>44821140</v>
      </c>
      <c r="H28" s="346" t="s">
        <v>261</v>
      </c>
      <c r="I28" s="284" t="s">
        <v>262</v>
      </c>
      <c r="J28" s="284">
        <v>14</v>
      </c>
      <c r="K28" s="284">
        <v>201122919</v>
      </c>
      <c r="L28" s="348">
        <v>572000</v>
      </c>
      <c r="M28" s="346" t="s">
        <v>484</v>
      </c>
    </row>
    <row r="29" spans="1:13" ht="39" hidden="1" x14ac:dyDescent="0.25">
      <c r="A29" s="346"/>
      <c r="B29" s="347">
        <v>44974</v>
      </c>
      <c r="C29" s="346" t="s">
        <v>234</v>
      </c>
      <c r="D29" s="284" t="s">
        <v>235</v>
      </c>
      <c r="E29" s="284" t="s">
        <v>259</v>
      </c>
      <c r="F29" s="284" t="s">
        <v>485</v>
      </c>
      <c r="G29" s="284">
        <v>44821190</v>
      </c>
      <c r="H29" s="346" t="s">
        <v>261</v>
      </c>
      <c r="I29" s="284" t="s">
        <v>262</v>
      </c>
      <c r="J29" s="284">
        <v>14</v>
      </c>
      <c r="K29" s="284">
        <v>201122919</v>
      </c>
      <c r="L29" s="348">
        <v>5100000</v>
      </c>
      <c r="M29" s="346" t="s">
        <v>486</v>
      </c>
    </row>
    <row r="30" spans="1:13" ht="77.25" hidden="1" x14ac:dyDescent="0.25">
      <c r="A30" s="346"/>
      <c r="B30" s="347">
        <v>44980</v>
      </c>
      <c r="C30" s="346" t="s">
        <v>234</v>
      </c>
      <c r="D30" s="284" t="s">
        <v>235</v>
      </c>
      <c r="E30" s="284" t="s">
        <v>236</v>
      </c>
      <c r="F30" s="284">
        <v>3629700029</v>
      </c>
      <c r="G30" s="284">
        <v>44252200</v>
      </c>
      <c r="H30" s="346" t="s">
        <v>237</v>
      </c>
      <c r="I30" s="284" t="s">
        <v>238</v>
      </c>
      <c r="J30" s="284">
        <v>549</v>
      </c>
      <c r="K30" s="284">
        <v>303496464</v>
      </c>
      <c r="L30" s="348">
        <v>40573320</v>
      </c>
      <c r="M30" s="346" t="s">
        <v>487</v>
      </c>
    </row>
    <row r="31" spans="1:13" ht="77.25" hidden="1" x14ac:dyDescent="0.25">
      <c r="A31" s="346"/>
      <c r="B31" s="347">
        <v>44980</v>
      </c>
      <c r="C31" s="346" t="s">
        <v>234</v>
      </c>
      <c r="D31" s="284" t="s">
        <v>235</v>
      </c>
      <c r="E31" s="284" t="s">
        <v>236</v>
      </c>
      <c r="F31" s="284">
        <v>3629700030</v>
      </c>
      <c r="G31" s="284">
        <v>44252200</v>
      </c>
      <c r="H31" s="346" t="s">
        <v>237</v>
      </c>
      <c r="I31" s="284" t="s">
        <v>238</v>
      </c>
      <c r="J31" s="284">
        <v>549</v>
      </c>
      <c r="K31" s="284">
        <v>303496464</v>
      </c>
      <c r="L31" s="348">
        <v>94491080</v>
      </c>
      <c r="M31" s="346" t="s">
        <v>488</v>
      </c>
    </row>
    <row r="32" spans="1:13" ht="77.25" hidden="1" x14ac:dyDescent="0.25">
      <c r="A32" s="346"/>
      <c r="B32" s="347">
        <v>44995</v>
      </c>
      <c r="C32" s="346" t="s">
        <v>234</v>
      </c>
      <c r="D32" s="284" t="s">
        <v>235</v>
      </c>
      <c r="E32" s="284" t="s">
        <v>236</v>
      </c>
      <c r="F32" s="284">
        <v>3629700031</v>
      </c>
      <c r="G32" s="284">
        <v>44252200</v>
      </c>
      <c r="H32" s="346" t="s">
        <v>237</v>
      </c>
      <c r="I32" s="284" t="s">
        <v>238</v>
      </c>
      <c r="J32" s="284">
        <v>549</v>
      </c>
      <c r="K32" s="284">
        <v>303496464</v>
      </c>
      <c r="L32" s="348">
        <v>240536700</v>
      </c>
      <c r="M32" s="346" t="s">
        <v>239</v>
      </c>
    </row>
    <row r="33" spans="1:15" ht="64.5" hidden="1" x14ac:dyDescent="0.25">
      <c r="A33" s="346"/>
      <c r="B33" s="347">
        <v>45009</v>
      </c>
      <c r="C33" s="346" t="s">
        <v>234</v>
      </c>
      <c r="D33" s="284" t="s">
        <v>235</v>
      </c>
      <c r="E33" s="284" t="s">
        <v>236</v>
      </c>
      <c r="F33" s="284">
        <v>3629700035</v>
      </c>
      <c r="G33" s="284">
        <v>44821190</v>
      </c>
      <c r="H33" s="346" t="s">
        <v>240</v>
      </c>
      <c r="I33" s="284" t="s">
        <v>241</v>
      </c>
      <c r="J33" s="284">
        <v>1110</v>
      </c>
      <c r="K33" s="284">
        <v>207133844</v>
      </c>
      <c r="L33" s="348">
        <v>11400000</v>
      </c>
      <c r="M33" s="346" t="s">
        <v>242</v>
      </c>
    </row>
    <row r="34" spans="1:15" ht="64.5" hidden="1" x14ac:dyDescent="0.25">
      <c r="A34" s="346"/>
      <c r="B34" s="347">
        <v>45009</v>
      </c>
      <c r="C34" s="346" t="s">
        <v>234</v>
      </c>
      <c r="D34" s="284" t="s">
        <v>235</v>
      </c>
      <c r="E34" s="284" t="s">
        <v>236</v>
      </c>
      <c r="F34" s="284">
        <v>3629700034</v>
      </c>
      <c r="G34" s="284">
        <v>44821190</v>
      </c>
      <c r="H34" s="346" t="s">
        <v>243</v>
      </c>
      <c r="I34" s="284" t="s">
        <v>244</v>
      </c>
      <c r="J34" s="284">
        <v>395</v>
      </c>
      <c r="K34" s="284">
        <v>306271996</v>
      </c>
      <c r="L34" s="348">
        <v>20000000</v>
      </c>
      <c r="M34" s="346" t="s">
        <v>245</v>
      </c>
    </row>
    <row r="35" spans="1:15" ht="51.75" hidden="1" x14ac:dyDescent="0.25">
      <c r="A35" s="346"/>
      <c r="B35" s="347">
        <v>45009</v>
      </c>
      <c r="C35" s="346" t="s">
        <v>234</v>
      </c>
      <c r="D35" s="284" t="s">
        <v>235</v>
      </c>
      <c r="E35" s="284" t="s">
        <v>236</v>
      </c>
      <c r="F35" s="284">
        <v>3629700033</v>
      </c>
      <c r="G35" s="284">
        <v>44821190</v>
      </c>
      <c r="H35" s="346" t="s">
        <v>246</v>
      </c>
      <c r="I35" s="284" t="s">
        <v>247</v>
      </c>
      <c r="J35" s="284">
        <v>808</v>
      </c>
      <c r="K35" s="284">
        <v>207215726</v>
      </c>
      <c r="L35" s="348">
        <v>3360000</v>
      </c>
      <c r="M35" s="346" t="s">
        <v>248</v>
      </c>
    </row>
    <row r="36" spans="1:15" ht="64.5" x14ac:dyDescent="0.25">
      <c r="A36" s="346"/>
      <c r="B36" s="347">
        <v>45009</v>
      </c>
      <c r="C36" s="346" t="s">
        <v>234</v>
      </c>
      <c r="D36" s="284" t="s">
        <v>235</v>
      </c>
      <c r="E36" s="284" t="s">
        <v>236</v>
      </c>
      <c r="F36" s="284">
        <v>3629700032</v>
      </c>
      <c r="G36" s="284">
        <v>44721900</v>
      </c>
      <c r="H36" s="346" t="s">
        <v>246</v>
      </c>
      <c r="I36" s="284" t="s">
        <v>247</v>
      </c>
      <c r="J36" s="284">
        <v>808</v>
      </c>
      <c r="K36" s="284">
        <v>207215726</v>
      </c>
      <c r="L36" s="349">
        <v>336000000</v>
      </c>
      <c r="M36" s="346" t="s">
        <v>249</v>
      </c>
    </row>
    <row r="37" spans="1:15" ht="64.5" hidden="1" x14ac:dyDescent="0.25">
      <c r="A37" s="346"/>
      <c r="B37" s="347">
        <v>45010</v>
      </c>
      <c r="C37" s="346" t="s">
        <v>234</v>
      </c>
      <c r="D37" s="284" t="s">
        <v>235</v>
      </c>
      <c r="E37" s="284" t="s">
        <v>236</v>
      </c>
      <c r="F37" s="284">
        <v>3629700036</v>
      </c>
      <c r="G37" s="284">
        <v>44821190</v>
      </c>
      <c r="H37" s="346" t="s">
        <v>250</v>
      </c>
      <c r="I37" s="284" t="s">
        <v>251</v>
      </c>
      <c r="J37" s="284">
        <v>83</v>
      </c>
      <c r="K37" s="284">
        <v>307789706</v>
      </c>
      <c r="L37" s="348">
        <v>20000000</v>
      </c>
      <c r="M37" s="346" t="s">
        <v>252</v>
      </c>
      <c r="O37">
        <v>547.20000000000005</v>
      </c>
    </row>
    <row r="38" spans="1:15" ht="77.25" hidden="1" x14ac:dyDescent="0.25">
      <c r="A38" s="346"/>
      <c r="B38" s="347">
        <v>45012</v>
      </c>
      <c r="C38" s="346" t="s">
        <v>234</v>
      </c>
      <c r="D38" s="284" t="s">
        <v>235</v>
      </c>
      <c r="E38" s="284" t="s">
        <v>236</v>
      </c>
      <c r="F38" s="284">
        <v>3629700037</v>
      </c>
      <c r="G38" s="284">
        <v>44821190</v>
      </c>
      <c r="H38" s="346" t="s">
        <v>253</v>
      </c>
      <c r="I38" s="284" t="s">
        <v>254</v>
      </c>
      <c r="J38" s="284">
        <v>401</v>
      </c>
      <c r="K38" s="284">
        <v>200896691</v>
      </c>
      <c r="L38" s="348">
        <v>44600000</v>
      </c>
      <c r="M38" s="346" t="s">
        <v>255</v>
      </c>
      <c r="O38">
        <v>567.6</v>
      </c>
    </row>
    <row r="39" spans="1:15" hidden="1" x14ac:dyDescent="0.25">
      <c r="A39" s="641" t="s">
        <v>256</v>
      </c>
      <c r="B39" s="642"/>
      <c r="C39" s="642"/>
      <c r="D39" s="642"/>
      <c r="E39" s="642"/>
      <c r="F39" s="642"/>
      <c r="G39" s="642"/>
      <c r="H39" s="642"/>
      <c r="I39" s="642"/>
      <c r="J39" s="642"/>
      <c r="K39" s="643"/>
      <c r="L39" s="348">
        <v>1001161484</v>
      </c>
      <c r="M39" s="284"/>
      <c r="O39">
        <v>483.6</v>
      </c>
    </row>
    <row r="40" spans="1:15" hidden="1" x14ac:dyDescent="0.25">
      <c r="A40" s="641" t="s">
        <v>42</v>
      </c>
      <c r="B40" s="642"/>
      <c r="C40" s="642"/>
      <c r="D40" s="642"/>
      <c r="E40" s="642"/>
      <c r="F40" s="642"/>
      <c r="G40" s="642"/>
      <c r="H40" s="642"/>
      <c r="I40" s="642"/>
      <c r="J40" s="642"/>
      <c r="K40" s="643"/>
      <c r="L40" s="345"/>
      <c r="M40" s="284"/>
    </row>
    <row r="41" spans="1:15" ht="39" hidden="1" x14ac:dyDescent="0.25">
      <c r="A41" s="346"/>
      <c r="B41" s="347">
        <v>44998</v>
      </c>
      <c r="C41" s="346" t="s">
        <v>257</v>
      </c>
      <c r="D41" s="284" t="s">
        <v>258</v>
      </c>
      <c r="E41" s="284" t="s">
        <v>259</v>
      </c>
      <c r="F41" s="284" t="s">
        <v>260</v>
      </c>
      <c r="G41" s="284">
        <v>44821190</v>
      </c>
      <c r="H41" s="346" t="s">
        <v>261</v>
      </c>
      <c r="I41" s="284" t="s">
        <v>262</v>
      </c>
      <c r="J41" s="284">
        <v>14</v>
      </c>
      <c r="K41" s="284">
        <v>201122919</v>
      </c>
      <c r="L41" s="348">
        <v>1537000</v>
      </c>
      <c r="M41" s="346" t="s">
        <v>263</v>
      </c>
      <c r="O41">
        <v>594</v>
      </c>
    </row>
    <row r="42" spans="1:15" ht="39" hidden="1" x14ac:dyDescent="0.25">
      <c r="A42" s="346"/>
      <c r="B42" s="347">
        <v>45008</v>
      </c>
      <c r="C42" s="346" t="s">
        <v>257</v>
      </c>
      <c r="D42" s="284" t="s">
        <v>258</v>
      </c>
      <c r="E42" s="284" t="s">
        <v>259</v>
      </c>
      <c r="F42" s="284" t="s">
        <v>264</v>
      </c>
      <c r="G42" s="284">
        <v>44821190</v>
      </c>
      <c r="H42" s="346" t="s">
        <v>261</v>
      </c>
      <c r="I42" s="284" t="s">
        <v>262</v>
      </c>
      <c r="J42" s="284">
        <v>14</v>
      </c>
      <c r="K42" s="284">
        <v>201122919</v>
      </c>
      <c r="L42" s="348">
        <v>2650000</v>
      </c>
      <c r="M42" s="346" t="s">
        <v>265</v>
      </c>
      <c r="O42">
        <v>1320</v>
      </c>
    </row>
    <row r="43" spans="1:15" ht="77.25" x14ac:dyDescent="0.25">
      <c r="A43" s="346"/>
      <c r="B43" s="347">
        <v>45008</v>
      </c>
      <c r="C43" s="346" t="s">
        <v>257</v>
      </c>
      <c r="D43" s="284" t="s">
        <v>258</v>
      </c>
      <c r="E43" s="284" t="s">
        <v>236</v>
      </c>
      <c r="F43" s="284">
        <v>3621300009</v>
      </c>
      <c r="G43" s="284">
        <v>44721900</v>
      </c>
      <c r="H43" s="346" t="s">
        <v>266</v>
      </c>
      <c r="I43" s="284" t="s">
        <v>267</v>
      </c>
      <c r="J43" s="284">
        <v>816</v>
      </c>
      <c r="K43" s="284">
        <v>207215726</v>
      </c>
      <c r="L43" s="349">
        <v>547200000</v>
      </c>
      <c r="M43" s="346" t="s">
        <v>268</v>
      </c>
    </row>
    <row r="44" spans="1:15" ht="77.25" hidden="1" x14ac:dyDescent="0.25">
      <c r="A44" s="346"/>
      <c r="B44" s="347">
        <v>45008</v>
      </c>
      <c r="C44" s="346" t="s">
        <v>257</v>
      </c>
      <c r="D44" s="284" t="s">
        <v>258</v>
      </c>
      <c r="E44" s="284" t="s">
        <v>236</v>
      </c>
      <c r="F44" s="284">
        <v>3621300010</v>
      </c>
      <c r="G44" s="284">
        <v>44821190</v>
      </c>
      <c r="H44" s="346" t="s">
        <v>266</v>
      </c>
      <c r="I44" s="284" t="s">
        <v>267</v>
      </c>
      <c r="J44" s="284">
        <v>816</v>
      </c>
      <c r="K44" s="284">
        <v>207215726</v>
      </c>
      <c r="L44" s="348">
        <v>5472000</v>
      </c>
      <c r="M44" s="346" t="s">
        <v>269</v>
      </c>
      <c r="O44">
        <v>452.4</v>
      </c>
    </row>
    <row r="45" spans="1:15" ht="51.75" hidden="1" x14ac:dyDescent="0.25">
      <c r="A45" s="346"/>
      <c r="B45" s="347">
        <v>45012</v>
      </c>
      <c r="C45" s="346" t="s">
        <v>257</v>
      </c>
      <c r="D45" s="284" t="s">
        <v>258</v>
      </c>
      <c r="E45" s="284" t="s">
        <v>236</v>
      </c>
      <c r="F45" s="284">
        <v>3621300011</v>
      </c>
      <c r="G45" s="284">
        <v>44821190</v>
      </c>
      <c r="H45" s="346" t="s">
        <v>253</v>
      </c>
      <c r="I45" s="284" t="s">
        <v>254</v>
      </c>
      <c r="J45" s="284">
        <v>401</v>
      </c>
      <c r="K45" s="284">
        <v>200896691</v>
      </c>
      <c r="L45" s="348">
        <v>51300000</v>
      </c>
      <c r="M45" s="346" t="s">
        <v>270</v>
      </c>
      <c r="O45">
        <v>105.60000000000001</v>
      </c>
    </row>
    <row r="46" spans="1:15" hidden="1" x14ac:dyDescent="0.25">
      <c r="A46" s="641" t="s">
        <v>271</v>
      </c>
      <c r="B46" s="642"/>
      <c r="C46" s="642"/>
      <c r="D46" s="642"/>
      <c r="E46" s="642"/>
      <c r="F46" s="642"/>
      <c r="G46" s="642"/>
      <c r="H46" s="642"/>
      <c r="I46" s="642"/>
      <c r="J46" s="642"/>
      <c r="K46" s="643"/>
      <c r="L46" s="348">
        <v>608159000</v>
      </c>
      <c r="M46" s="284"/>
      <c r="O46">
        <v>484.8</v>
      </c>
    </row>
    <row r="47" spans="1:15" hidden="1" x14ac:dyDescent="0.25">
      <c r="A47" s="641" t="s">
        <v>43</v>
      </c>
      <c r="B47" s="642"/>
      <c r="C47" s="642"/>
      <c r="D47" s="642"/>
      <c r="E47" s="642"/>
      <c r="F47" s="642"/>
      <c r="G47" s="642"/>
      <c r="H47" s="642"/>
      <c r="I47" s="642"/>
      <c r="J47" s="642"/>
      <c r="K47" s="643"/>
      <c r="L47" s="345"/>
      <c r="M47" s="284"/>
      <c r="O47">
        <v>393.6</v>
      </c>
    </row>
    <row r="48" spans="1:15" ht="51.75" x14ac:dyDescent="0.25">
      <c r="A48" s="346"/>
      <c r="B48" s="347">
        <v>45009</v>
      </c>
      <c r="C48" s="346" t="s">
        <v>272</v>
      </c>
      <c r="D48" s="284" t="s">
        <v>273</v>
      </c>
      <c r="E48" s="284" t="s">
        <v>236</v>
      </c>
      <c r="F48" s="284">
        <v>3628800117</v>
      </c>
      <c r="G48" s="284">
        <v>44721900</v>
      </c>
      <c r="H48" s="346" t="s">
        <v>274</v>
      </c>
      <c r="I48" s="284" t="s">
        <v>275</v>
      </c>
      <c r="J48" s="284">
        <v>554</v>
      </c>
      <c r="K48" s="284">
        <v>206918594</v>
      </c>
      <c r="L48" s="349">
        <v>567600000</v>
      </c>
      <c r="M48" s="346" t="s">
        <v>276</v>
      </c>
    </row>
    <row r="49" spans="1:13" ht="51.75" hidden="1" x14ac:dyDescent="0.25">
      <c r="A49" s="346"/>
      <c r="B49" s="347">
        <v>45010</v>
      </c>
      <c r="C49" s="346" t="s">
        <v>272</v>
      </c>
      <c r="D49" s="284" t="s">
        <v>273</v>
      </c>
      <c r="E49" s="284" t="s">
        <v>236</v>
      </c>
      <c r="F49" s="284">
        <v>3628800118</v>
      </c>
      <c r="G49" s="284">
        <v>44821190</v>
      </c>
      <c r="H49" s="346" t="s">
        <v>253</v>
      </c>
      <c r="I49" s="284" t="s">
        <v>254</v>
      </c>
      <c r="J49" s="284">
        <v>401</v>
      </c>
      <c r="K49" s="284">
        <v>200896691</v>
      </c>
      <c r="L49" s="348">
        <v>45900000</v>
      </c>
      <c r="M49" s="346" t="s">
        <v>277</v>
      </c>
    </row>
    <row r="50" spans="1:13" ht="64.5" hidden="1" x14ac:dyDescent="0.25">
      <c r="A50" s="346"/>
      <c r="B50" s="347">
        <v>45016</v>
      </c>
      <c r="C50" s="346" t="s">
        <v>272</v>
      </c>
      <c r="D50" s="284" t="s">
        <v>273</v>
      </c>
      <c r="E50" s="284" t="s">
        <v>236</v>
      </c>
      <c r="F50" s="284">
        <v>3628800119</v>
      </c>
      <c r="G50" s="284">
        <v>44721900</v>
      </c>
      <c r="H50" s="346" t="s">
        <v>278</v>
      </c>
      <c r="I50" s="284" t="s">
        <v>279</v>
      </c>
      <c r="J50" s="284">
        <v>1036</v>
      </c>
      <c r="K50" s="284">
        <v>305181792</v>
      </c>
      <c r="L50" s="348">
        <v>5000000</v>
      </c>
      <c r="M50" s="346" t="s">
        <v>280</v>
      </c>
    </row>
    <row r="51" spans="1:13" hidden="1" x14ac:dyDescent="0.25">
      <c r="A51" s="641" t="s">
        <v>281</v>
      </c>
      <c r="B51" s="642"/>
      <c r="C51" s="642"/>
      <c r="D51" s="642"/>
      <c r="E51" s="642"/>
      <c r="F51" s="642"/>
      <c r="G51" s="642"/>
      <c r="H51" s="642"/>
      <c r="I51" s="642"/>
      <c r="J51" s="642"/>
      <c r="K51" s="643"/>
      <c r="L51" s="348">
        <v>618500000</v>
      </c>
      <c r="M51" s="284"/>
    </row>
    <row r="52" spans="1:13" hidden="1" x14ac:dyDescent="0.25">
      <c r="A52" s="641" t="s">
        <v>44</v>
      </c>
      <c r="B52" s="642"/>
      <c r="C52" s="642"/>
      <c r="D52" s="642"/>
      <c r="E52" s="642"/>
      <c r="F52" s="642"/>
      <c r="G52" s="642"/>
      <c r="H52" s="642"/>
      <c r="I52" s="642"/>
      <c r="J52" s="642"/>
      <c r="K52" s="643"/>
      <c r="L52" s="345"/>
      <c r="M52" s="284"/>
    </row>
    <row r="53" spans="1:13" ht="64.5" hidden="1" x14ac:dyDescent="0.25">
      <c r="A53" s="346"/>
      <c r="B53" s="347">
        <v>44937</v>
      </c>
      <c r="C53" s="346" t="s">
        <v>282</v>
      </c>
      <c r="D53" s="284" t="s">
        <v>283</v>
      </c>
      <c r="E53" s="284" t="s">
        <v>259</v>
      </c>
      <c r="F53" s="284">
        <v>3617700001</v>
      </c>
      <c r="G53" s="284">
        <v>44291000</v>
      </c>
      <c r="H53" s="346" t="s">
        <v>261</v>
      </c>
      <c r="I53" s="284" t="s">
        <v>262</v>
      </c>
      <c r="J53" s="284">
        <v>14</v>
      </c>
      <c r="K53" s="284">
        <v>201122919</v>
      </c>
      <c r="L53" s="348">
        <v>4500000</v>
      </c>
      <c r="M53" s="346" t="s">
        <v>489</v>
      </c>
    </row>
    <row r="54" spans="1:13" ht="51.75" hidden="1" x14ac:dyDescent="0.25">
      <c r="A54" s="346"/>
      <c r="B54" s="347">
        <v>44938</v>
      </c>
      <c r="C54" s="346" t="s">
        <v>282</v>
      </c>
      <c r="D54" s="284" t="s">
        <v>283</v>
      </c>
      <c r="E54" s="284" t="s">
        <v>236</v>
      </c>
      <c r="F54" s="284">
        <v>3617700001</v>
      </c>
      <c r="G54" s="284">
        <v>44721900</v>
      </c>
      <c r="H54" s="346" t="s">
        <v>284</v>
      </c>
      <c r="I54" s="284" t="s">
        <v>285</v>
      </c>
      <c r="J54" s="284">
        <v>815</v>
      </c>
      <c r="K54" s="284">
        <v>207215726</v>
      </c>
      <c r="L54" s="348">
        <v>2400000</v>
      </c>
      <c r="M54" s="346" t="s">
        <v>490</v>
      </c>
    </row>
    <row r="55" spans="1:13" ht="51.75" hidden="1" x14ac:dyDescent="0.25">
      <c r="A55" s="346"/>
      <c r="B55" s="347">
        <v>44945</v>
      </c>
      <c r="C55" s="346" t="s">
        <v>282</v>
      </c>
      <c r="D55" s="284" t="s">
        <v>283</v>
      </c>
      <c r="E55" s="284" t="s">
        <v>236</v>
      </c>
      <c r="F55" s="284">
        <v>3617700002</v>
      </c>
      <c r="G55" s="284">
        <v>44721900</v>
      </c>
      <c r="H55" s="346" t="s">
        <v>284</v>
      </c>
      <c r="I55" s="284" t="s">
        <v>285</v>
      </c>
      <c r="J55" s="284">
        <v>815</v>
      </c>
      <c r="K55" s="284">
        <v>207215726</v>
      </c>
      <c r="L55" s="348">
        <v>7200000</v>
      </c>
      <c r="M55" s="346" t="s">
        <v>491</v>
      </c>
    </row>
    <row r="56" spans="1:13" ht="51.75" hidden="1" x14ac:dyDescent="0.25">
      <c r="A56" s="346"/>
      <c r="B56" s="347">
        <v>44945</v>
      </c>
      <c r="C56" s="346" t="s">
        <v>282</v>
      </c>
      <c r="D56" s="284" t="s">
        <v>283</v>
      </c>
      <c r="E56" s="284" t="s">
        <v>236</v>
      </c>
      <c r="F56" s="284">
        <v>3617700003</v>
      </c>
      <c r="G56" s="284">
        <v>44721900</v>
      </c>
      <c r="H56" s="346" t="s">
        <v>284</v>
      </c>
      <c r="I56" s="284" t="s">
        <v>285</v>
      </c>
      <c r="J56" s="284">
        <v>815</v>
      </c>
      <c r="K56" s="284">
        <v>207215726</v>
      </c>
      <c r="L56" s="348">
        <v>29700000</v>
      </c>
      <c r="M56" s="346" t="s">
        <v>492</v>
      </c>
    </row>
    <row r="57" spans="1:13" ht="64.5" hidden="1" x14ac:dyDescent="0.25">
      <c r="A57" s="346"/>
      <c r="B57" s="347">
        <v>44952</v>
      </c>
      <c r="C57" s="346" t="s">
        <v>282</v>
      </c>
      <c r="D57" s="284" t="s">
        <v>283</v>
      </c>
      <c r="E57" s="284" t="s">
        <v>236</v>
      </c>
      <c r="F57" s="284">
        <v>3617700004</v>
      </c>
      <c r="G57" s="284">
        <v>44721900</v>
      </c>
      <c r="H57" s="346" t="s">
        <v>284</v>
      </c>
      <c r="I57" s="284" t="s">
        <v>285</v>
      </c>
      <c r="J57" s="284">
        <v>815</v>
      </c>
      <c r="K57" s="284">
        <v>207215726</v>
      </c>
      <c r="L57" s="348">
        <v>10000000</v>
      </c>
      <c r="M57" s="346" t="s">
        <v>493</v>
      </c>
    </row>
    <row r="58" spans="1:13" ht="39" hidden="1" x14ac:dyDescent="0.25">
      <c r="A58" s="346"/>
      <c r="B58" s="347">
        <v>44960</v>
      </c>
      <c r="C58" s="346" t="s">
        <v>282</v>
      </c>
      <c r="D58" s="284" t="s">
        <v>283</v>
      </c>
      <c r="E58" s="284" t="s">
        <v>259</v>
      </c>
      <c r="F58" s="284" t="s">
        <v>494</v>
      </c>
      <c r="G58" s="284">
        <v>44299990</v>
      </c>
      <c r="H58" s="346" t="s">
        <v>261</v>
      </c>
      <c r="I58" s="284" t="s">
        <v>262</v>
      </c>
      <c r="J58" s="284">
        <v>14</v>
      </c>
      <c r="K58" s="284">
        <v>201122919</v>
      </c>
      <c r="L58" s="348">
        <v>13530000</v>
      </c>
      <c r="M58" s="346" t="s">
        <v>495</v>
      </c>
    </row>
    <row r="59" spans="1:13" ht="51.75" hidden="1" x14ac:dyDescent="0.25">
      <c r="A59" s="346"/>
      <c r="B59" s="347">
        <v>44964</v>
      </c>
      <c r="C59" s="346" t="s">
        <v>282</v>
      </c>
      <c r="D59" s="284" t="s">
        <v>283</v>
      </c>
      <c r="E59" s="284" t="s">
        <v>236</v>
      </c>
      <c r="F59" s="284">
        <v>3617700005</v>
      </c>
      <c r="G59" s="284">
        <v>44721900</v>
      </c>
      <c r="H59" s="346" t="s">
        <v>284</v>
      </c>
      <c r="I59" s="284" t="s">
        <v>285</v>
      </c>
      <c r="J59" s="284">
        <v>815</v>
      </c>
      <c r="K59" s="284">
        <v>207215726</v>
      </c>
      <c r="L59" s="348">
        <v>9295800</v>
      </c>
      <c r="M59" s="346" t="s">
        <v>492</v>
      </c>
    </row>
    <row r="60" spans="1:13" ht="64.5" hidden="1" x14ac:dyDescent="0.25">
      <c r="A60" s="346"/>
      <c r="B60" s="347">
        <v>44970</v>
      </c>
      <c r="C60" s="346" t="s">
        <v>282</v>
      </c>
      <c r="D60" s="284" t="s">
        <v>283</v>
      </c>
      <c r="E60" s="284" t="s">
        <v>236</v>
      </c>
      <c r="F60" s="284">
        <v>3617700006</v>
      </c>
      <c r="G60" s="284">
        <v>44721900</v>
      </c>
      <c r="H60" s="346" t="s">
        <v>284</v>
      </c>
      <c r="I60" s="284" t="s">
        <v>285</v>
      </c>
      <c r="J60" s="284">
        <v>815</v>
      </c>
      <c r="K60" s="284">
        <v>207215726</v>
      </c>
      <c r="L60" s="348">
        <v>6000000</v>
      </c>
      <c r="M60" s="346" t="s">
        <v>496</v>
      </c>
    </row>
    <row r="61" spans="1:13" ht="39" hidden="1" x14ac:dyDescent="0.25">
      <c r="A61" s="346"/>
      <c r="B61" s="347">
        <v>44972</v>
      </c>
      <c r="C61" s="346" t="s">
        <v>282</v>
      </c>
      <c r="D61" s="284" t="s">
        <v>283</v>
      </c>
      <c r="E61" s="284" t="s">
        <v>259</v>
      </c>
      <c r="F61" s="284" t="s">
        <v>497</v>
      </c>
      <c r="G61" s="284">
        <v>44299990</v>
      </c>
      <c r="H61" s="346" t="s">
        <v>261</v>
      </c>
      <c r="I61" s="284" t="s">
        <v>262</v>
      </c>
      <c r="J61" s="284">
        <v>14</v>
      </c>
      <c r="K61" s="284">
        <v>201122919</v>
      </c>
      <c r="L61" s="348">
        <v>3900000</v>
      </c>
      <c r="M61" s="346" t="s">
        <v>498</v>
      </c>
    </row>
    <row r="62" spans="1:13" ht="64.5" hidden="1" x14ac:dyDescent="0.25">
      <c r="A62" s="346"/>
      <c r="B62" s="347">
        <v>45009</v>
      </c>
      <c r="C62" s="346" t="s">
        <v>282</v>
      </c>
      <c r="D62" s="284" t="s">
        <v>283</v>
      </c>
      <c r="E62" s="284" t="s">
        <v>236</v>
      </c>
      <c r="F62" s="284">
        <v>3617700008</v>
      </c>
      <c r="G62" s="284">
        <v>44721900</v>
      </c>
      <c r="H62" s="346" t="s">
        <v>284</v>
      </c>
      <c r="I62" s="284" t="s">
        <v>285</v>
      </c>
      <c r="J62" s="284">
        <v>815</v>
      </c>
      <c r="K62" s="284">
        <v>207215726</v>
      </c>
      <c r="L62" s="348">
        <v>13500000</v>
      </c>
      <c r="M62" s="346" t="s">
        <v>286</v>
      </c>
    </row>
    <row r="63" spans="1:13" ht="64.5" x14ac:dyDescent="0.25">
      <c r="A63" s="346"/>
      <c r="B63" s="347">
        <v>45009</v>
      </c>
      <c r="C63" s="346" t="s">
        <v>282</v>
      </c>
      <c r="D63" s="284" t="s">
        <v>283</v>
      </c>
      <c r="E63" s="284" t="s">
        <v>236</v>
      </c>
      <c r="F63" s="284">
        <v>3617700007</v>
      </c>
      <c r="G63" s="284">
        <v>44721900</v>
      </c>
      <c r="H63" s="346" t="s">
        <v>284</v>
      </c>
      <c r="I63" s="284" t="s">
        <v>285</v>
      </c>
      <c r="J63" s="284">
        <v>815</v>
      </c>
      <c r="K63" s="284">
        <v>207215726</v>
      </c>
      <c r="L63" s="349">
        <v>243600000</v>
      </c>
      <c r="M63" s="346" t="s">
        <v>287</v>
      </c>
    </row>
    <row r="64" spans="1:13" ht="64.5" hidden="1" x14ac:dyDescent="0.25">
      <c r="A64" s="346"/>
      <c r="B64" s="347">
        <v>45010</v>
      </c>
      <c r="C64" s="346" t="s">
        <v>282</v>
      </c>
      <c r="D64" s="284" t="s">
        <v>283</v>
      </c>
      <c r="E64" s="284" t="s">
        <v>236</v>
      </c>
      <c r="F64" s="284">
        <v>3617700009</v>
      </c>
      <c r="G64" s="284">
        <v>44821190</v>
      </c>
      <c r="H64" s="346" t="s">
        <v>253</v>
      </c>
      <c r="I64" s="284" t="s">
        <v>254</v>
      </c>
      <c r="J64" s="284">
        <v>401</v>
      </c>
      <c r="K64" s="284">
        <v>200896691</v>
      </c>
      <c r="L64" s="348">
        <v>53200000</v>
      </c>
      <c r="M64" s="346" t="s">
        <v>288</v>
      </c>
    </row>
    <row r="65" spans="1:15" ht="64.5" x14ac:dyDescent="0.25">
      <c r="A65" s="346"/>
      <c r="B65" s="347">
        <v>45014</v>
      </c>
      <c r="C65" s="346" t="s">
        <v>282</v>
      </c>
      <c r="D65" s="284" t="s">
        <v>283</v>
      </c>
      <c r="E65" s="284" t="s">
        <v>236</v>
      </c>
      <c r="F65" s="284">
        <v>3617700010</v>
      </c>
      <c r="G65" s="284">
        <v>44721900</v>
      </c>
      <c r="H65" s="346" t="s">
        <v>284</v>
      </c>
      <c r="I65" s="284" t="s">
        <v>285</v>
      </c>
      <c r="J65" s="284">
        <v>815</v>
      </c>
      <c r="K65" s="284">
        <v>207215726</v>
      </c>
      <c r="L65" s="349">
        <v>240000000</v>
      </c>
      <c r="M65" s="346" t="s">
        <v>289</v>
      </c>
    </row>
    <row r="66" spans="1:15" ht="51.75" hidden="1" x14ac:dyDescent="0.25">
      <c r="A66" s="346"/>
      <c r="B66" s="347">
        <v>45014</v>
      </c>
      <c r="C66" s="346" t="s">
        <v>282</v>
      </c>
      <c r="D66" s="284" t="s">
        <v>283</v>
      </c>
      <c r="E66" s="284" t="s">
        <v>236</v>
      </c>
      <c r="F66" s="284">
        <v>3617700011</v>
      </c>
      <c r="G66" s="284">
        <v>44721900</v>
      </c>
      <c r="H66" s="346" t="s">
        <v>284</v>
      </c>
      <c r="I66" s="284" t="s">
        <v>285</v>
      </c>
      <c r="J66" s="284">
        <v>815</v>
      </c>
      <c r="K66" s="284">
        <v>207215726</v>
      </c>
      <c r="L66" s="348">
        <v>2761295</v>
      </c>
      <c r="M66" s="346" t="s">
        <v>290</v>
      </c>
    </row>
    <row r="67" spans="1:15" hidden="1" x14ac:dyDescent="0.25">
      <c r="A67" s="641" t="s">
        <v>291</v>
      </c>
      <c r="B67" s="642"/>
      <c r="C67" s="642"/>
      <c r="D67" s="642"/>
      <c r="E67" s="642"/>
      <c r="F67" s="642"/>
      <c r="G67" s="642"/>
      <c r="H67" s="642"/>
      <c r="I67" s="642"/>
      <c r="J67" s="642"/>
      <c r="K67" s="643"/>
      <c r="L67" s="348">
        <v>639587095</v>
      </c>
      <c r="M67" s="284"/>
    </row>
    <row r="68" spans="1:15" hidden="1" x14ac:dyDescent="0.25">
      <c r="A68" s="641" t="s">
        <v>45</v>
      </c>
      <c r="B68" s="642"/>
      <c r="C68" s="642"/>
      <c r="D68" s="642"/>
      <c r="E68" s="642"/>
      <c r="F68" s="642"/>
      <c r="G68" s="642"/>
      <c r="H68" s="642"/>
      <c r="I68" s="642"/>
      <c r="J68" s="642"/>
      <c r="K68" s="643"/>
      <c r="L68" s="345"/>
      <c r="M68" s="284"/>
    </row>
    <row r="69" spans="1:15" ht="64.5" hidden="1" x14ac:dyDescent="0.25">
      <c r="A69" s="346"/>
      <c r="B69" s="347">
        <v>44971</v>
      </c>
      <c r="C69" s="346" t="s">
        <v>292</v>
      </c>
      <c r="D69" s="284" t="s">
        <v>293</v>
      </c>
      <c r="E69" s="284" t="s">
        <v>236</v>
      </c>
      <c r="F69" s="284">
        <v>3629900049</v>
      </c>
      <c r="G69" s="284">
        <v>44721900</v>
      </c>
      <c r="H69" s="346" t="s">
        <v>294</v>
      </c>
      <c r="I69" s="284" t="s">
        <v>295</v>
      </c>
      <c r="J69" s="284">
        <v>817</v>
      </c>
      <c r="K69" s="284">
        <v>207215726</v>
      </c>
      <c r="L69" s="353">
        <v>250006222</v>
      </c>
      <c r="M69" s="346" t="s">
        <v>499</v>
      </c>
      <c r="O69" s="350"/>
    </row>
    <row r="70" spans="1:15" ht="39" hidden="1" x14ac:dyDescent="0.25">
      <c r="A70" s="346"/>
      <c r="B70" s="347">
        <v>44984</v>
      </c>
      <c r="C70" s="346" t="s">
        <v>292</v>
      </c>
      <c r="D70" s="284" t="s">
        <v>293</v>
      </c>
      <c r="E70" s="284" t="s">
        <v>259</v>
      </c>
      <c r="F70" s="284" t="s">
        <v>500</v>
      </c>
      <c r="G70" s="284">
        <v>44299990</v>
      </c>
      <c r="H70" s="346" t="s">
        <v>261</v>
      </c>
      <c r="I70" s="284" t="s">
        <v>262</v>
      </c>
      <c r="J70" s="284">
        <v>14</v>
      </c>
      <c r="K70" s="284">
        <v>201122919</v>
      </c>
      <c r="L70" s="348">
        <v>7901725</v>
      </c>
      <c r="M70" s="346" t="s">
        <v>501</v>
      </c>
    </row>
    <row r="71" spans="1:15" ht="39" hidden="1" x14ac:dyDescent="0.25">
      <c r="A71" s="346"/>
      <c r="B71" s="347">
        <v>44984</v>
      </c>
      <c r="C71" s="346" t="s">
        <v>292</v>
      </c>
      <c r="D71" s="284" t="s">
        <v>293</v>
      </c>
      <c r="E71" s="284" t="s">
        <v>259</v>
      </c>
      <c r="F71" s="284" t="s">
        <v>502</v>
      </c>
      <c r="G71" s="284">
        <v>44299990</v>
      </c>
      <c r="H71" s="346" t="s">
        <v>261</v>
      </c>
      <c r="I71" s="284" t="s">
        <v>262</v>
      </c>
      <c r="J71" s="284">
        <v>14</v>
      </c>
      <c r="K71" s="284">
        <v>201122919</v>
      </c>
      <c r="L71" s="348">
        <v>9750000</v>
      </c>
      <c r="M71" s="346" t="s">
        <v>503</v>
      </c>
    </row>
    <row r="72" spans="1:15" ht="64.5" hidden="1" x14ac:dyDescent="0.25">
      <c r="A72" s="346"/>
      <c r="B72" s="347">
        <v>44991</v>
      </c>
      <c r="C72" s="346" t="s">
        <v>292</v>
      </c>
      <c r="D72" s="284" t="s">
        <v>293</v>
      </c>
      <c r="E72" s="284" t="s">
        <v>236</v>
      </c>
      <c r="F72" s="284">
        <v>3629900052</v>
      </c>
      <c r="G72" s="284">
        <v>44721900</v>
      </c>
      <c r="H72" s="346" t="s">
        <v>294</v>
      </c>
      <c r="I72" s="284" t="s">
        <v>295</v>
      </c>
      <c r="J72" s="284">
        <v>817</v>
      </c>
      <c r="K72" s="284">
        <v>207215726</v>
      </c>
      <c r="L72" s="353">
        <v>55100000</v>
      </c>
      <c r="M72" s="346" t="s">
        <v>296</v>
      </c>
    </row>
    <row r="73" spans="1:15" ht="51.75" hidden="1" x14ac:dyDescent="0.25">
      <c r="A73" s="346"/>
      <c r="B73" s="347">
        <v>45012</v>
      </c>
      <c r="C73" s="346" t="s">
        <v>292</v>
      </c>
      <c r="D73" s="284" t="s">
        <v>293</v>
      </c>
      <c r="E73" s="284" t="s">
        <v>236</v>
      </c>
      <c r="F73" s="284">
        <v>3629900054</v>
      </c>
      <c r="G73" s="284">
        <v>44821190</v>
      </c>
      <c r="H73" s="346" t="s">
        <v>253</v>
      </c>
      <c r="I73" s="284" t="s">
        <v>254</v>
      </c>
      <c r="J73" s="284">
        <v>401</v>
      </c>
      <c r="K73" s="284">
        <v>200896691</v>
      </c>
      <c r="L73" s="348">
        <v>62200000</v>
      </c>
      <c r="M73" s="346" t="s">
        <v>297</v>
      </c>
    </row>
    <row r="74" spans="1:15" hidden="1" x14ac:dyDescent="0.25">
      <c r="A74" s="641" t="s">
        <v>298</v>
      </c>
      <c r="B74" s="642"/>
      <c r="C74" s="642"/>
      <c r="D74" s="642"/>
      <c r="E74" s="642"/>
      <c r="F74" s="642"/>
      <c r="G74" s="642"/>
      <c r="H74" s="642"/>
      <c r="I74" s="642"/>
      <c r="J74" s="642"/>
      <c r="K74" s="643"/>
      <c r="L74" s="348">
        <v>384957947</v>
      </c>
      <c r="M74" s="284"/>
    </row>
    <row r="75" spans="1:15" hidden="1" x14ac:dyDescent="0.25">
      <c r="A75" s="641" t="s">
        <v>46</v>
      </c>
      <c r="B75" s="642"/>
      <c r="C75" s="642"/>
      <c r="D75" s="642"/>
      <c r="E75" s="642"/>
      <c r="F75" s="642"/>
      <c r="G75" s="642"/>
      <c r="H75" s="642"/>
      <c r="I75" s="642"/>
      <c r="J75" s="642"/>
      <c r="K75" s="643"/>
      <c r="L75" s="345"/>
      <c r="M75" s="284"/>
    </row>
    <row r="76" spans="1:15" ht="51.75" hidden="1" x14ac:dyDescent="0.25">
      <c r="A76" s="346"/>
      <c r="B76" s="347">
        <v>44995</v>
      </c>
      <c r="C76" s="346" t="s">
        <v>299</v>
      </c>
      <c r="D76" s="284" t="s">
        <v>300</v>
      </c>
      <c r="E76" s="284" t="s">
        <v>236</v>
      </c>
      <c r="F76" s="284">
        <v>3620500024</v>
      </c>
      <c r="G76" s="284">
        <v>44232100</v>
      </c>
      <c r="H76" s="346" t="s">
        <v>301</v>
      </c>
      <c r="I76" s="284" t="s">
        <v>302</v>
      </c>
      <c r="J76" s="284">
        <v>1037</v>
      </c>
      <c r="K76" s="284">
        <v>302482483</v>
      </c>
      <c r="L76" s="348">
        <v>57589607</v>
      </c>
      <c r="M76" s="346" t="s">
        <v>303</v>
      </c>
    </row>
    <row r="77" spans="1:15" ht="64.5" hidden="1" x14ac:dyDescent="0.25">
      <c r="A77" s="346"/>
      <c r="B77" s="347">
        <v>45002</v>
      </c>
      <c r="C77" s="346" t="s">
        <v>299</v>
      </c>
      <c r="D77" s="284" t="s">
        <v>300</v>
      </c>
      <c r="E77" s="284" t="s">
        <v>236</v>
      </c>
      <c r="F77" s="284">
        <v>3620500025</v>
      </c>
      <c r="G77" s="284">
        <v>44232100</v>
      </c>
      <c r="H77" s="346" t="s">
        <v>301</v>
      </c>
      <c r="I77" s="284" t="s">
        <v>302</v>
      </c>
      <c r="J77" s="284">
        <v>1037</v>
      </c>
      <c r="K77" s="284">
        <v>302482483</v>
      </c>
      <c r="L77" s="348">
        <v>134375750</v>
      </c>
      <c r="M77" s="346" t="s">
        <v>304</v>
      </c>
    </row>
    <row r="78" spans="1:15" ht="51.75" hidden="1" x14ac:dyDescent="0.25">
      <c r="A78" s="346"/>
      <c r="B78" s="347">
        <v>45010</v>
      </c>
      <c r="C78" s="346" t="s">
        <v>299</v>
      </c>
      <c r="D78" s="284" t="s">
        <v>300</v>
      </c>
      <c r="E78" s="284" t="s">
        <v>236</v>
      </c>
      <c r="F78" s="284">
        <v>3620500026</v>
      </c>
      <c r="G78" s="284">
        <v>44821190</v>
      </c>
      <c r="H78" s="346" t="s">
        <v>253</v>
      </c>
      <c r="I78" s="284" t="s">
        <v>254</v>
      </c>
      <c r="J78" s="284">
        <v>401</v>
      </c>
      <c r="K78" s="284">
        <v>200896691</v>
      </c>
      <c r="L78" s="348">
        <v>60100000</v>
      </c>
      <c r="M78" s="346" t="s">
        <v>305</v>
      </c>
    </row>
    <row r="79" spans="1:15" ht="51.75" x14ac:dyDescent="0.25">
      <c r="A79" s="346"/>
      <c r="B79" s="347">
        <v>45012</v>
      </c>
      <c r="C79" s="346" t="s">
        <v>299</v>
      </c>
      <c r="D79" s="284" t="s">
        <v>300</v>
      </c>
      <c r="E79" s="284" t="s">
        <v>236</v>
      </c>
      <c r="F79" s="284">
        <v>3620500027</v>
      </c>
      <c r="G79" s="284">
        <v>44721900</v>
      </c>
      <c r="H79" s="346" t="s">
        <v>306</v>
      </c>
      <c r="I79" s="284" t="s">
        <v>307</v>
      </c>
      <c r="J79" s="284">
        <v>813</v>
      </c>
      <c r="K79" s="284">
        <v>207215726</v>
      </c>
      <c r="L79" s="349">
        <v>198000000</v>
      </c>
      <c r="M79" s="346" t="s">
        <v>308</v>
      </c>
      <c r="N79" s="350"/>
    </row>
    <row r="80" spans="1:15" ht="51.75" x14ac:dyDescent="0.25">
      <c r="A80" s="346"/>
      <c r="B80" s="347">
        <v>45016</v>
      </c>
      <c r="C80" s="346" t="s">
        <v>299</v>
      </c>
      <c r="D80" s="284" t="s">
        <v>300</v>
      </c>
      <c r="E80" s="284" t="s">
        <v>236</v>
      </c>
      <c r="F80" s="284">
        <v>3620500028</v>
      </c>
      <c r="G80" s="284">
        <v>44721900</v>
      </c>
      <c r="H80" s="346" t="s">
        <v>306</v>
      </c>
      <c r="I80" s="284" t="s">
        <v>307</v>
      </c>
      <c r="J80" s="284">
        <v>813</v>
      </c>
      <c r="K80" s="284">
        <v>207215726</v>
      </c>
      <c r="L80" s="349">
        <v>396000000</v>
      </c>
      <c r="M80" s="346" t="s">
        <v>309</v>
      </c>
    </row>
    <row r="81" spans="1:13" hidden="1" x14ac:dyDescent="0.25">
      <c r="A81" s="641" t="s">
        <v>310</v>
      </c>
      <c r="B81" s="642"/>
      <c r="C81" s="642"/>
      <c r="D81" s="642"/>
      <c r="E81" s="642"/>
      <c r="F81" s="642"/>
      <c r="G81" s="642"/>
      <c r="H81" s="642"/>
      <c r="I81" s="642"/>
      <c r="J81" s="642"/>
      <c r="K81" s="643"/>
      <c r="L81" s="348">
        <v>846065357</v>
      </c>
      <c r="M81" s="284"/>
    </row>
    <row r="82" spans="1:13" hidden="1" x14ac:dyDescent="0.25">
      <c r="A82" s="641" t="s">
        <v>47</v>
      </c>
      <c r="B82" s="642"/>
      <c r="C82" s="642"/>
      <c r="D82" s="642"/>
      <c r="E82" s="642"/>
      <c r="F82" s="642"/>
      <c r="G82" s="642"/>
      <c r="H82" s="642"/>
      <c r="I82" s="642"/>
      <c r="J82" s="642"/>
      <c r="K82" s="643"/>
      <c r="L82" s="345"/>
      <c r="M82" s="284"/>
    </row>
    <row r="83" spans="1:13" ht="77.25" hidden="1" x14ac:dyDescent="0.25">
      <c r="A83" s="346"/>
      <c r="B83" s="347">
        <v>44971</v>
      </c>
      <c r="C83" s="346" t="s">
        <v>311</v>
      </c>
      <c r="D83" s="284" t="s">
        <v>312</v>
      </c>
      <c r="E83" s="284" t="s">
        <v>236</v>
      </c>
      <c r="F83" s="284">
        <v>3598700001</v>
      </c>
      <c r="G83" s="284">
        <v>44252600</v>
      </c>
      <c r="H83" s="346" t="s">
        <v>504</v>
      </c>
      <c r="I83" s="284" t="s">
        <v>505</v>
      </c>
      <c r="J83" s="284">
        <v>440</v>
      </c>
      <c r="K83" s="284">
        <v>207016317</v>
      </c>
      <c r="L83" s="348">
        <v>30630600</v>
      </c>
      <c r="M83" s="346" t="s">
        <v>506</v>
      </c>
    </row>
    <row r="84" spans="1:13" ht="39" hidden="1" x14ac:dyDescent="0.25">
      <c r="A84" s="346"/>
      <c r="B84" s="347">
        <v>44977</v>
      </c>
      <c r="C84" s="346" t="s">
        <v>311</v>
      </c>
      <c r="D84" s="284" t="s">
        <v>312</v>
      </c>
      <c r="E84" s="284" t="s">
        <v>259</v>
      </c>
      <c r="F84" s="284" t="s">
        <v>507</v>
      </c>
      <c r="G84" s="284">
        <v>44299990</v>
      </c>
      <c r="H84" s="346" t="s">
        <v>261</v>
      </c>
      <c r="I84" s="284" t="s">
        <v>262</v>
      </c>
      <c r="J84" s="284">
        <v>14</v>
      </c>
      <c r="K84" s="284">
        <v>201122919</v>
      </c>
      <c r="L84" s="348">
        <v>2300000</v>
      </c>
      <c r="M84" s="346" t="s">
        <v>508</v>
      </c>
    </row>
    <row r="85" spans="1:13" ht="77.25" x14ac:dyDescent="0.25">
      <c r="A85" s="346"/>
      <c r="B85" s="347">
        <v>44992</v>
      </c>
      <c r="C85" s="346" t="s">
        <v>311</v>
      </c>
      <c r="D85" s="284" t="s">
        <v>312</v>
      </c>
      <c r="E85" s="284" t="s">
        <v>236</v>
      </c>
      <c r="F85" s="284">
        <v>3598700002</v>
      </c>
      <c r="G85" s="284">
        <v>44721900</v>
      </c>
      <c r="H85" s="346" t="s">
        <v>313</v>
      </c>
      <c r="I85" s="284" t="s">
        <v>314</v>
      </c>
      <c r="J85" s="284">
        <v>812</v>
      </c>
      <c r="K85" s="284">
        <v>207215726</v>
      </c>
      <c r="L85" s="349">
        <v>720000000</v>
      </c>
      <c r="M85" s="346" t="s">
        <v>315</v>
      </c>
    </row>
    <row r="86" spans="1:13" ht="64.5" hidden="1" x14ac:dyDescent="0.25">
      <c r="A86" s="346"/>
      <c r="B86" s="347">
        <v>45010</v>
      </c>
      <c r="C86" s="346" t="s">
        <v>311</v>
      </c>
      <c r="D86" s="284" t="s">
        <v>312</v>
      </c>
      <c r="E86" s="284" t="s">
        <v>236</v>
      </c>
      <c r="F86" s="284">
        <v>3598700003</v>
      </c>
      <c r="G86" s="284">
        <v>44821190</v>
      </c>
      <c r="H86" s="346" t="s">
        <v>316</v>
      </c>
      <c r="I86" s="284" t="s">
        <v>317</v>
      </c>
      <c r="J86" s="284">
        <v>1028</v>
      </c>
      <c r="K86" s="284">
        <v>308440658</v>
      </c>
      <c r="L86" s="348">
        <v>5650000</v>
      </c>
      <c r="M86" s="346" t="s">
        <v>318</v>
      </c>
    </row>
    <row r="87" spans="1:13" ht="51.75" hidden="1" x14ac:dyDescent="0.25">
      <c r="A87" s="346"/>
      <c r="B87" s="347">
        <v>45010</v>
      </c>
      <c r="C87" s="346" t="s">
        <v>311</v>
      </c>
      <c r="D87" s="284" t="s">
        <v>312</v>
      </c>
      <c r="E87" s="284" t="s">
        <v>236</v>
      </c>
      <c r="F87" s="284">
        <v>3598700004</v>
      </c>
      <c r="G87" s="284">
        <v>44821190</v>
      </c>
      <c r="H87" s="346" t="s">
        <v>253</v>
      </c>
      <c r="I87" s="284" t="s">
        <v>254</v>
      </c>
      <c r="J87" s="284">
        <v>401</v>
      </c>
      <c r="K87" s="284">
        <v>200896691</v>
      </c>
      <c r="L87" s="348">
        <v>57900000</v>
      </c>
      <c r="M87" s="346" t="s">
        <v>319</v>
      </c>
    </row>
    <row r="88" spans="1:13" ht="64.5" hidden="1" x14ac:dyDescent="0.25">
      <c r="A88" s="346"/>
      <c r="B88" s="347">
        <v>45013</v>
      </c>
      <c r="C88" s="346" t="s">
        <v>311</v>
      </c>
      <c r="D88" s="284" t="s">
        <v>312</v>
      </c>
      <c r="E88" s="284" t="s">
        <v>236</v>
      </c>
      <c r="F88" s="284">
        <v>3598700005</v>
      </c>
      <c r="G88" s="284">
        <v>44242100</v>
      </c>
      <c r="H88" s="346" t="s">
        <v>313</v>
      </c>
      <c r="I88" s="284" t="s">
        <v>320</v>
      </c>
      <c r="J88" s="284">
        <v>812</v>
      </c>
      <c r="K88" s="284">
        <v>207215726</v>
      </c>
      <c r="L88" s="348">
        <v>500000</v>
      </c>
      <c r="M88" s="346" t="s">
        <v>321</v>
      </c>
    </row>
    <row r="89" spans="1:13" ht="64.5" hidden="1" x14ac:dyDescent="0.25">
      <c r="A89" s="346"/>
      <c r="B89" s="347">
        <v>45014</v>
      </c>
      <c r="C89" s="346" t="s">
        <v>311</v>
      </c>
      <c r="D89" s="284" t="s">
        <v>312</v>
      </c>
      <c r="E89" s="284" t="s">
        <v>236</v>
      </c>
      <c r="F89" s="284">
        <v>3598700012</v>
      </c>
      <c r="G89" s="284">
        <v>44242100</v>
      </c>
      <c r="H89" s="346" t="s">
        <v>322</v>
      </c>
      <c r="I89" s="284" t="s">
        <v>323</v>
      </c>
      <c r="J89" s="284">
        <v>560</v>
      </c>
      <c r="K89" s="284">
        <v>207243390</v>
      </c>
      <c r="L89" s="348">
        <v>500000</v>
      </c>
      <c r="M89" s="346" t="s">
        <v>324</v>
      </c>
    </row>
    <row r="90" spans="1:13" ht="64.5" hidden="1" x14ac:dyDescent="0.25">
      <c r="A90" s="346"/>
      <c r="B90" s="347">
        <v>45014</v>
      </c>
      <c r="C90" s="346" t="s">
        <v>311</v>
      </c>
      <c r="D90" s="284" t="s">
        <v>312</v>
      </c>
      <c r="E90" s="284" t="s">
        <v>236</v>
      </c>
      <c r="F90" s="284">
        <v>3598700011</v>
      </c>
      <c r="G90" s="284">
        <v>44242100</v>
      </c>
      <c r="H90" s="346" t="s">
        <v>325</v>
      </c>
      <c r="I90" s="284" t="s">
        <v>326</v>
      </c>
      <c r="J90" s="284">
        <v>1037</v>
      </c>
      <c r="K90" s="284">
        <v>206916313</v>
      </c>
      <c r="L90" s="348">
        <v>500000</v>
      </c>
      <c r="M90" s="346" t="s">
        <v>327</v>
      </c>
    </row>
    <row r="91" spans="1:13" ht="64.5" hidden="1" x14ac:dyDescent="0.25">
      <c r="A91" s="346"/>
      <c r="B91" s="347">
        <v>45014</v>
      </c>
      <c r="C91" s="346" t="s">
        <v>311</v>
      </c>
      <c r="D91" s="284" t="s">
        <v>312</v>
      </c>
      <c r="E91" s="284" t="s">
        <v>236</v>
      </c>
      <c r="F91" s="284">
        <v>3598700010</v>
      </c>
      <c r="G91" s="284">
        <v>44242100</v>
      </c>
      <c r="H91" s="346" t="s">
        <v>328</v>
      </c>
      <c r="I91" s="284" t="s">
        <v>329</v>
      </c>
      <c r="J91" s="284">
        <v>915</v>
      </c>
      <c r="K91" s="284">
        <v>200836354</v>
      </c>
      <c r="L91" s="348">
        <v>500000</v>
      </c>
      <c r="M91" s="346" t="s">
        <v>330</v>
      </c>
    </row>
    <row r="92" spans="1:13" ht="64.5" hidden="1" x14ac:dyDescent="0.25">
      <c r="A92" s="346"/>
      <c r="B92" s="347">
        <v>45014</v>
      </c>
      <c r="C92" s="346" t="s">
        <v>311</v>
      </c>
      <c r="D92" s="284" t="s">
        <v>312</v>
      </c>
      <c r="E92" s="284" t="s">
        <v>236</v>
      </c>
      <c r="F92" s="284">
        <v>3598700009</v>
      </c>
      <c r="G92" s="284">
        <v>44242100</v>
      </c>
      <c r="H92" s="346" t="s">
        <v>331</v>
      </c>
      <c r="I92" s="284" t="s">
        <v>332</v>
      </c>
      <c r="J92" s="284">
        <v>83</v>
      </c>
      <c r="K92" s="284">
        <v>200242936</v>
      </c>
      <c r="L92" s="348">
        <v>500000</v>
      </c>
      <c r="M92" s="346" t="s">
        <v>333</v>
      </c>
    </row>
    <row r="93" spans="1:13" ht="64.5" hidden="1" x14ac:dyDescent="0.25">
      <c r="A93" s="346"/>
      <c r="B93" s="347">
        <v>45014</v>
      </c>
      <c r="C93" s="346" t="s">
        <v>311</v>
      </c>
      <c r="D93" s="284" t="s">
        <v>312</v>
      </c>
      <c r="E93" s="284" t="s">
        <v>236</v>
      </c>
      <c r="F93" s="284">
        <v>3598700008</v>
      </c>
      <c r="G93" s="284">
        <v>44242100</v>
      </c>
      <c r="H93" s="346" t="s">
        <v>313</v>
      </c>
      <c r="I93" s="284" t="s">
        <v>334</v>
      </c>
      <c r="J93" s="284">
        <v>812</v>
      </c>
      <c r="K93" s="284">
        <v>207215726</v>
      </c>
      <c r="L93" s="348">
        <v>500000</v>
      </c>
      <c r="M93" s="346" t="s">
        <v>335</v>
      </c>
    </row>
    <row r="94" spans="1:13" ht="64.5" hidden="1" x14ac:dyDescent="0.25">
      <c r="A94" s="346"/>
      <c r="B94" s="347">
        <v>45014</v>
      </c>
      <c r="C94" s="346" t="s">
        <v>311</v>
      </c>
      <c r="D94" s="284" t="s">
        <v>312</v>
      </c>
      <c r="E94" s="284" t="s">
        <v>236</v>
      </c>
      <c r="F94" s="284">
        <v>3598700007</v>
      </c>
      <c r="G94" s="284">
        <v>44242100</v>
      </c>
      <c r="H94" s="346" t="s">
        <v>322</v>
      </c>
      <c r="I94" s="284" t="s">
        <v>323</v>
      </c>
      <c r="J94" s="284">
        <v>560</v>
      </c>
      <c r="K94" s="284">
        <v>207243390</v>
      </c>
      <c r="L94" s="348">
        <v>500000</v>
      </c>
      <c r="M94" s="346" t="s">
        <v>336</v>
      </c>
    </row>
    <row r="95" spans="1:13" ht="64.5" hidden="1" x14ac:dyDescent="0.25">
      <c r="A95" s="346"/>
      <c r="B95" s="347">
        <v>45014</v>
      </c>
      <c r="C95" s="346" t="s">
        <v>311</v>
      </c>
      <c r="D95" s="284" t="s">
        <v>312</v>
      </c>
      <c r="E95" s="284" t="s">
        <v>236</v>
      </c>
      <c r="F95" s="284">
        <v>3598700006</v>
      </c>
      <c r="G95" s="284">
        <v>44242100</v>
      </c>
      <c r="H95" s="346" t="s">
        <v>313</v>
      </c>
      <c r="I95" s="284" t="s">
        <v>320</v>
      </c>
      <c r="J95" s="284">
        <v>812</v>
      </c>
      <c r="K95" s="284">
        <v>207215726</v>
      </c>
      <c r="L95" s="348">
        <v>500000</v>
      </c>
      <c r="M95" s="346" t="s">
        <v>337</v>
      </c>
    </row>
    <row r="96" spans="1:13" ht="64.5" hidden="1" x14ac:dyDescent="0.25">
      <c r="A96" s="346"/>
      <c r="B96" s="347">
        <v>45014</v>
      </c>
      <c r="C96" s="346" t="s">
        <v>311</v>
      </c>
      <c r="D96" s="284" t="s">
        <v>312</v>
      </c>
      <c r="E96" s="284" t="s">
        <v>236</v>
      </c>
      <c r="F96" s="284">
        <v>3598700013</v>
      </c>
      <c r="G96" s="284">
        <v>44242100</v>
      </c>
      <c r="H96" s="346" t="s">
        <v>338</v>
      </c>
      <c r="I96" s="284" t="s">
        <v>339</v>
      </c>
      <c r="J96" s="284">
        <v>580</v>
      </c>
      <c r="K96" s="284">
        <v>202858483</v>
      </c>
      <c r="L96" s="348">
        <v>500000</v>
      </c>
      <c r="M96" s="346" t="s">
        <v>340</v>
      </c>
    </row>
    <row r="97" spans="1:14" ht="77.25" x14ac:dyDescent="0.25">
      <c r="A97" s="346"/>
      <c r="B97" s="347">
        <v>45016</v>
      </c>
      <c r="C97" s="346" t="s">
        <v>311</v>
      </c>
      <c r="D97" s="284" t="s">
        <v>312</v>
      </c>
      <c r="E97" s="284" t="s">
        <v>236</v>
      </c>
      <c r="F97" s="284">
        <v>3598700014</v>
      </c>
      <c r="G97" s="284">
        <v>44721900</v>
      </c>
      <c r="H97" s="346" t="s">
        <v>313</v>
      </c>
      <c r="I97" s="284" t="s">
        <v>314</v>
      </c>
      <c r="J97" s="284">
        <v>812</v>
      </c>
      <c r="K97" s="284">
        <v>207215726</v>
      </c>
      <c r="L97" s="349">
        <v>600000000</v>
      </c>
      <c r="M97" s="346" t="s">
        <v>341</v>
      </c>
      <c r="N97" s="350"/>
    </row>
    <row r="98" spans="1:14" hidden="1" x14ac:dyDescent="0.25">
      <c r="A98" s="641" t="s">
        <v>342</v>
      </c>
      <c r="B98" s="642"/>
      <c r="C98" s="642"/>
      <c r="D98" s="642"/>
      <c r="E98" s="642"/>
      <c r="F98" s="642"/>
      <c r="G98" s="642"/>
      <c r="H98" s="642"/>
      <c r="I98" s="642"/>
      <c r="J98" s="642"/>
      <c r="K98" s="643"/>
      <c r="L98" s="348">
        <v>1420980600</v>
      </c>
      <c r="M98" s="284"/>
    </row>
    <row r="99" spans="1:14" hidden="1" x14ac:dyDescent="0.25">
      <c r="A99" s="641" t="s">
        <v>48</v>
      </c>
      <c r="B99" s="642"/>
      <c r="C99" s="642"/>
      <c r="D99" s="642"/>
      <c r="E99" s="642"/>
      <c r="F99" s="642"/>
      <c r="G99" s="642"/>
      <c r="H99" s="642"/>
      <c r="I99" s="642"/>
      <c r="J99" s="642"/>
      <c r="K99" s="643"/>
      <c r="L99" s="345"/>
      <c r="M99" s="284"/>
    </row>
    <row r="100" spans="1:14" ht="64.5" x14ac:dyDescent="0.25">
      <c r="A100" s="346"/>
      <c r="B100" s="347">
        <v>44995</v>
      </c>
      <c r="C100" s="346" t="s">
        <v>343</v>
      </c>
      <c r="D100" s="284" t="s">
        <v>344</v>
      </c>
      <c r="E100" s="284" t="s">
        <v>236</v>
      </c>
      <c r="F100" s="284">
        <v>3630100032</v>
      </c>
      <c r="G100" s="284">
        <v>44721900</v>
      </c>
      <c r="H100" s="346" t="s">
        <v>345</v>
      </c>
      <c r="I100" s="284" t="s">
        <v>346</v>
      </c>
      <c r="J100" s="284">
        <v>810</v>
      </c>
      <c r="K100" s="284">
        <v>206918594</v>
      </c>
      <c r="L100" s="349">
        <v>366000000</v>
      </c>
      <c r="M100" s="346" t="s">
        <v>347</v>
      </c>
    </row>
    <row r="101" spans="1:14" ht="51.75" hidden="1" x14ac:dyDescent="0.25">
      <c r="A101" s="346"/>
      <c r="B101" s="347">
        <v>45010</v>
      </c>
      <c r="C101" s="346" t="s">
        <v>343</v>
      </c>
      <c r="D101" s="284" t="s">
        <v>344</v>
      </c>
      <c r="E101" s="284" t="s">
        <v>236</v>
      </c>
      <c r="F101" s="284">
        <v>3630100034</v>
      </c>
      <c r="G101" s="284">
        <v>44821190</v>
      </c>
      <c r="H101" s="346" t="s">
        <v>253</v>
      </c>
      <c r="I101" s="284" t="s">
        <v>254</v>
      </c>
      <c r="J101" s="284">
        <v>401</v>
      </c>
      <c r="K101" s="284">
        <v>200896691</v>
      </c>
      <c r="L101" s="348">
        <v>52700000</v>
      </c>
      <c r="M101" s="346" t="s">
        <v>348</v>
      </c>
    </row>
    <row r="102" spans="1:14" ht="64.5" hidden="1" x14ac:dyDescent="0.25">
      <c r="A102" s="346"/>
      <c r="B102" s="347">
        <v>45010</v>
      </c>
      <c r="C102" s="346" t="s">
        <v>343</v>
      </c>
      <c r="D102" s="284" t="s">
        <v>344</v>
      </c>
      <c r="E102" s="284" t="s">
        <v>236</v>
      </c>
      <c r="F102" s="284">
        <v>3630100033</v>
      </c>
      <c r="G102" s="284">
        <v>44721900</v>
      </c>
      <c r="H102" s="346" t="s">
        <v>345</v>
      </c>
      <c r="I102" s="284" t="s">
        <v>346</v>
      </c>
      <c r="J102" s="284">
        <v>810</v>
      </c>
      <c r="K102" s="284">
        <v>206918594</v>
      </c>
      <c r="L102" s="348">
        <v>69800000</v>
      </c>
      <c r="M102" s="346" t="s">
        <v>347</v>
      </c>
    </row>
    <row r="103" spans="1:14" ht="64.5" hidden="1" x14ac:dyDescent="0.25">
      <c r="A103" s="346"/>
      <c r="B103" s="347">
        <v>45016</v>
      </c>
      <c r="C103" s="346" t="s">
        <v>343</v>
      </c>
      <c r="D103" s="284" t="s">
        <v>344</v>
      </c>
      <c r="E103" s="284" t="s">
        <v>236</v>
      </c>
      <c r="F103" s="284">
        <v>3630100031</v>
      </c>
      <c r="G103" s="284">
        <v>44721900</v>
      </c>
      <c r="H103" s="346" t="s">
        <v>345</v>
      </c>
      <c r="I103" s="284" t="s">
        <v>275</v>
      </c>
      <c r="J103" s="284">
        <v>567</v>
      </c>
      <c r="K103" s="284">
        <v>206918594</v>
      </c>
      <c r="L103" s="348">
        <v>5400000</v>
      </c>
      <c r="M103" s="346" t="s">
        <v>347</v>
      </c>
    </row>
    <row r="104" spans="1:14" hidden="1" x14ac:dyDescent="0.25">
      <c r="A104" s="641" t="s">
        <v>349</v>
      </c>
      <c r="B104" s="642"/>
      <c r="C104" s="642"/>
      <c r="D104" s="642"/>
      <c r="E104" s="642"/>
      <c r="F104" s="642"/>
      <c r="G104" s="642"/>
      <c r="H104" s="642"/>
      <c r="I104" s="642"/>
      <c r="J104" s="642"/>
      <c r="K104" s="643"/>
      <c r="L104" s="348">
        <v>493900000</v>
      </c>
      <c r="M104" s="284"/>
    </row>
    <row r="105" spans="1:14" hidden="1" x14ac:dyDescent="0.25">
      <c r="A105" s="641" t="s">
        <v>49</v>
      </c>
      <c r="B105" s="642"/>
      <c r="C105" s="642"/>
      <c r="D105" s="642"/>
      <c r="E105" s="642"/>
      <c r="F105" s="642"/>
      <c r="G105" s="642"/>
      <c r="H105" s="642"/>
      <c r="I105" s="642"/>
      <c r="J105" s="642"/>
      <c r="K105" s="643"/>
      <c r="L105" s="345"/>
      <c r="M105" s="284"/>
    </row>
    <row r="106" spans="1:14" ht="51.75" hidden="1" x14ac:dyDescent="0.25">
      <c r="A106" s="346"/>
      <c r="B106" s="347">
        <v>44933</v>
      </c>
      <c r="C106" s="346" t="s">
        <v>350</v>
      </c>
      <c r="D106" s="284" t="s">
        <v>351</v>
      </c>
      <c r="E106" s="284" t="s">
        <v>236</v>
      </c>
      <c r="F106" s="284">
        <v>3625000001</v>
      </c>
      <c r="G106" s="284">
        <v>44821190</v>
      </c>
      <c r="H106" s="346" t="s">
        <v>504</v>
      </c>
      <c r="I106" s="284" t="s">
        <v>505</v>
      </c>
      <c r="J106" s="284">
        <v>440</v>
      </c>
      <c r="K106" s="284">
        <v>207016317</v>
      </c>
      <c r="L106" s="348">
        <v>13213200</v>
      </c>
      <c r="M106" s="346" t="s">
        <v>509</v>
      </c>
    </row>
    <row r="107" spans="1:14" ht="77.25" hidden="1" x14ac:dyDescent="0.25">
      <c r="A107" s="346"/>
      <c r="B107" s="347">
        <v>44936</v>
      </c>
      <c r="C107" s="346" t="s">
        <v>350</v>
      </c>
      <c r="D107" s="284" t="s">
        <v>351</v>
      </c>
      <c r="E107" s="284" t="s">
        <v>236</v>
      </c>
      <c r="F107" s="284">
        <v>3625000004</v>
      </c>
      <c r="G107" s="284">
        <v>44821190</v>
      </c>
      <c r="H107" s="346" t="s">
        <v>354</v>
      </c>
      <c r="I107" s="284" t="s">
        <v>357</v>
      </c>
      <c r="J107" s="284">
        <v>814</v>
      </c>
      <c r="K107" s="284">
        <v>207215726</v>
      </c>
      <c r="L107" s="348">
        <v>400000</v>
      </c>
      <c r="M107" s="346" t="s">
        <v>510</v>
      </c>
    </row>
    <row r="108" spans="1:14" ht="77.25" hidden="1" x14ac:dyDescent="0.25">
      <c r="A108" s="346"/>
      <c r="B108" s="347">
        <v>44936</v>
      </c>
      <c r="C108" s="346" t="s">
        <v>350</v>
      </c>
      <c r="D108" s="284" t="s">
        <v>351</v>
      </c>
      <c r="E108" s="284" t="s">
        <v>236</v>
      </c>
      <c r="F108" s="284">
        <v>3625000003</v>
      </c>
      <c r="G108" s="284">
        <v>44821190</v>
      </c>
      <c r="H108" s="346" t="s">
        <v>354</v>
      </c>
      <c r="I108" s="284" t="s">
        <v>357</v>
      </c>
      <c r="J108" s="284">
        <v>814</v>
      </c>
      <c r="K108" s="284">
        <v>207215726</v>
      </c>
      <c r="L108" s="348">
        <v>1000000</v>
      </c>
      <c r="M108" s="346" t="s">
        <v>511</v>
      </c>
    </row>
    <row r="109" spans="1:14" ht="77.25" hidden="1" x14ac:dyDescent="0.25">
      <c r="A109" s="346"/>
      <c r="B109" s="347">
        <v>44936</v>
      </c>
      <c r="C109" s="346" t="s">
        <v>350</v>
      </c>
      <c r="D109" s="284" t="s">
        <v>351</v>
      </c>
      <c r="E109" s="284" t="s">
        <v>236</v>
      </c>
      <c r="F109" s="284">
        <v>3625000002</v>
      </c>
      <c r="G109" s="284">
        <v>44821190</v>
      </c>
      <c r="H109" s="346" t="s">
        <v>354</v>
      </c>
      <c r="I109" s="284" t="s">
        <v>357</v>
      </c>
      <c r="J109" s="284">
        <v>814</v>
      </c>
      <c r="K109" s="284">
        <v>207215726</v>
      </c>
      <c r="L109" s="348">
        <v>600000</v>
      </c>
      <c r="M109" s="346" t="s">
        <v>512</v>
      </c>
    </row>
    <row r="110" spans="1:14" ht="77.25" hidden="1" x14ac:dyDescent="0.25">
      <c r="A110" s="346"/>
      <c r="B110" s="347">
        <v>44938</v>
      </c>
      <c r="C110" s="346" t="s">
        <v>350</v>
      </c>
      <c r="D110" s="284" t="s">
        <v>351</v>
      </c>
      <c r="E110" s="284" t="s">
        <v>236</v>
      </c>
      <c r="F110" s="284">
        <v>3625000006</v>
      </c>
      <c r="G110" s="284">
        <v>44821190</v>
      </c>
      <c r="H110" s="346" t="s">
        <v>513</v>
      </c>
      <c r="I110" s="284" t="s">
        <v>514</v>
      </c>
      <c r="J110" s="284">
        <v>563</v>
      </c>
      <c r="K110" s="284">
        <v>207243390</v>
      </c>
      <c r="L110" s="348">
        <v>300000</v>
      </c>
      <c r="M110" s="346" t="s">
        <v>515</v>
      </c>
    </row>
    <row r="111" spans="1:14" ht="90" hidden="1" x14ac:dyDescent="0.25">
      <c r="A111" s="346"/>
      <c r="B111" s="347">
        <v>44939</v>
      </c>
      <c r="C111" s="346" t="s">
        <v>350</v>
      </c>
      <c r="D111" s="284" t="s">
        <v>351</v>
      </c>
      <c r="E111" s="284" t="s">
        <v>236</v>
      </c>
      <c r="F111" s="284">
        <v>3625000009</v>
      </c>
      <c r="G111" s="284">
        <v>44821190</v>
      </c>
      <c r="H111" s="346" t="s">
        <v>354</v>
      </c>
      <c r="I111" s="284" t="s">
        <v>357</v>
      </c>
      <c r="J111" s="284">
        <v>814</v>
      </c>
      <c r="K111" s="284">
        <v>207215726</v>
      </c>
      <c r="L111" s="348">
        <v>4080000</v>
      </c>
      <c r="M111" s="346" t="s">
        <v>516</v>
      </c>
    </row>
    <row r="112" spans="1:14" ht="90" hidden="1" x14ac:dyDescent="0.25">
      <c r="A112" s="346"/>
      <c r="B112" s="347">
        <v>44939</v>
      </c>
      <c r="C112" s="346" t="s">
        <v>350</v>
      </c>
      <c r="D112" s="284" t="s">
        <v>351</v>
      </c>
      <c r="E112" s="284" t="s">
        <v>236</v>
      </c>
      <c r="F112" s="284">
        <v>3625000007</v>
      </c>
      <c r="G112" s="284">
        <v>44821190</v>
      </c>
      <c r="H112" s="346" t="s">
        <v>513</v>
      </c>
      <c r="I112" s="284" t="s">
        <v>514</v>
      </c>
      <c r="J112" s="284">
        <v>563</v>
      </c>
      <c r="K112" s="284">
        <v>207243390</v>
      </c>
      <c r="L112" s="348">
        <v>100000</v>
      </c>
      <c r="M112" s="346" t="s">
        <v>517</v>
      </c>
    </row>
    <row r="113" spans="1:14" ht="77.25" hidden="1" x14ac:dyDescent="0.25">
      <c r="A113" s="346"/>
      <c r="B113" s="347">
        <v>44939</v>
      </c>
      <c r="C113" s="346" t="s">
        <v>350</v>
      </c>
      <c r="D113" s="284" t="s">
        <v>351</v>
      </c>
      <c r="E113" s="284" t="s">
        <v>259</v>
      </c>
      <c r="F113" s="284">
        <v>3625000005</v>
      </c>
      <c r="G113" s="284">
        <v>44821190</v>
      </c>
      <c r="H113" s="346" t="s">
        <v>261</v>
      </c>
      <c r="I113" s="284" t="s">
        <v>262</v>
      </c>
      <c r="J113" s="284">
        <v>14</v>
      </c>
      <c r="K113" s="284">
        <v>201122919</v>
      </c>
      <c r="L113" s="348">
        <v>988341.75</v>
      </c>
      <c r="M113" s="346" t="s">
        <v>518</v>
      </c>
    </row>
    <row r="114" spans="1:14" ht="77.25" hidden="1" x14ac:dyDescent="0.25">
      <c r="A114" s="346"/>
      <c r="B114" s="347">
        <v>44939</v>
      </c>
      <c r="C114" s="346" t="s">
        <v>350</v>
      </c>
      <c r="D114" s="284" t="s">
        <v>351</v>
      </c>
      <c r="E114" s="284" t="s">
        <v>236</v>
      </c>
      <c r="F114" s="284">
        <v>3625000008</v>
      </c>
      <c r="G114" s="284">
        <v>44821190</v>
      </c>
      <c r="H114" s="346" t="s">
        <v>354</v>
      </c>
      <c r="I114" s="284" t="s">
        <v>357</v>
      </c>
      <c r="J114" s="284">
        <v>814</v>
      </c>
      <c r="K114" s="284">
        <v>207215726</v>
      </c>
      <c r="L114" s="348">
        <v>2760000</v>
      </c>
      <c r="M114" s="346" t="s">
        <v>519</v>
      </c>
    </row>
    <row r="115" spans="1:14" ht="77.25" hidden="1" x14ac:dyDescent="0.25">
      <c r="A115" s="346"/>
      <c r="B115" s="347">
        <v>44952</v>
      </c>
      <c r="C115" s="346" t="s">
        <v>350</v>
      </c>
      <c r="D115" s="284" t="s">
        <v>351</v>
      </c>
      <c r="E115" s="284" t="s">
        <v>236</v>
      </c>
      <c r="F115" s="284">
        <v>3625000014</v>
      </c>
      <c r="G115" s="284">
        <v>44821190</v>
      </c>
      <c r="H115" s="346" t="s">
        <v>520</v>
      </c>
      <c r="I115" s="284" t="s">
        <v>521</v>
      </c>
      <c r="J115" s="284">
        <v>1088</v>
      </c>
      <c r="K115" s="284">
        <v>308874140</v>
      </c>
      <c r="L115" s="348">
        <v>2300000</v>
      </c>
      <c r="M115" s="346" t="s">
        <v>522</v>
      </c>
    </row>
    <row r="116" spans="1:14" ht="77.25" hidden="1" x14ac:dyDescent="0.25">
      <c r="A116" s="346"/>
      <c r="B116" s="347">
        <v>44952</v>
      </c>
      <c r="C116" s="346" t="s">
        <v>350</v>
      </c>
      <c r="D116" s="284" t="s">
        <v>351</v>
      </c>
      <c r="E116" s="284" t="s">
        <v>236</v>
      </c>
      <c r="F116" s="284">
        <v>3625000015</v>
      </c>
      <c r="G116" s="284">
        <v>44821190</v>
      </c>
      <c r="H116" s="346" t="s">
        <v>354</v>
      </c>
      <c r="I116" s="284" t="s">
        <v>355</v>
      </c>
      <c r="J116" s="284">
        <v>814</v>
      </c>
      <c r="K116" s="284">
        <v>207215726</v>
      </c>
      <c r="L116" s="348">
        <v>600000</v>
      </c>
      <c r="M116" s="346" t="s">
        <v>523</v>
      </c>
    </row>
    <row r="117" spans="1:14" ht="39" hidden="1" x14ac:dyDescent="0.25">
      <c r="A117" s="346"/>
      <c r="B117" s="347">
        <v>44972</v>
      </c>
      <c r="C117" s="346" t="s">
        <v>350</v>
      </c>
      <c r="D117" s="284" t="s">
        <v>351</v>
      </c>
      <c r="E117" s="284" t="s">
        <v>259</v>
      </c>
      <c r="F117" s="284" t="s">
        <v>524</v>
      </c>
      <c r="G117" s="284">
        <v>44821190</v>
      </c>
      <c r="H117" s="346" t="s">
        <v>261</v>
      </c>
      <c r="I117" s="284" t="s">
        <v>262</v>
      </c>
      <c r="J117" s="284">
        <v>14</v>
      </c>
      <c r="K117" s="284">
        <v>201122919</v>
      </c>
      <c r="L117" s="348">
        <v>4446000</v>
      </c>
      <c r="M117" s="346" t="s">
        <v>525</v>
      </c>
    </row>
    <row r="118" spans="1:14" ht="39" hidden="1" x14ac:dyDescent="0.25">
      <c r="A118" s="346"/>
      <c r="B118" s="347">
        <v>44972</v>
      </c>
      <c r="C118" s="346" t="s">
        <v>350</v>
      </c>
      <c r="D118" s="284" t="s">
        <v>351</v>
      </c>
      <c r="E118" s="284" t="s">
        <v>259</v>
      </c>
      <c r="F118" s="284" t="s">
        <v>526</v>
      </c>
      <c r="G118" s="284">
        <v>44821190</v>
      </c>
      <c r="H118" s="346" t="s">
        <v>261</v>
      </c>
      <c r="I118" s="284" t="s">
        <v>262</v>
      </c>
      <c r="J118" s="284">
        <v>14</v>
      </c>
      <c r="K118" s="284">
        <v>201122919</v>
      </c>
      <c r="L118" s="348">
        <v>9450000</v>
      </c>
      <c r="M118" s="346" t="s">
        <v>527</v>
      </c>
    </row>
    <row r="119" spans="1:14" ht="64.5" hidden="1" x14ac:dyDescent="0.25">
      <c r="A119" s="346"/>
      <c r="B119" s="347">
        <v>44979</v>
      </c>
      <c r="C119" s="346" t="s">
        <v>350</v>
      </c>
      <c r="D119" s="284" t="s">
        <v>351</v>
      </c>
      <c r="E119" s="284" t="s">
        <v>236</v>
      </c>
      <c r="F119" s="284">
        <v>3625000016</v>
      </c>
      <c r="G119" s="284">
        <v>44821190</v>
      </c>
      <c r="H119" s="346" t="s">
        <v>528</v>
      </c>
      <c r="I119" s="284" t="s">
        <v>529</v>
      </c>
      <c r="J119" s="284">
        <v>814</v>
      </c>
      <c r="K119" s="284">
        <v>309896588</v>
      </c>
      <c r="L119" s="348">
        <v>15000000</v>
      </c>
      <c r="M119" s="346" t="s">
        <v>530</v>
      </c>
    </row>
    <row r="120" spans="1:14" ht="77.25" hidden="1" x14ac:dyDescent="0.25">
      <c r="A120" s="346"/>
      <c r="B120" s="347">
        <v>44981</v>
      </c>
      <c r="C120" s="346" t="s">
        <v>350</v>
      </c>
      <c r="D120" s="284" t="s">
        <v>351</v>
      </c>
      <c r="E120" s="284" t="s">
        <v>236</v>
      </c>
      <c r="F120" s="284">
        <v>3625000018</v>
      </c>
      <c r="G120" s="284">
        <v>44821190</v>
      </c>
      <c r="H120" s="346" t="s">
        <v>520</v>
      </c>
      <c r="I120" s="284" t="s">
        <v>521</v>
      </c>
      <c r="J120" s="284">
        <v>1088</v>
      </c>
      <c r="K120" s="284">
        <v>308874140</v>
      </c>
      <c r="L120" s="348">
        <v>2900000</v>
      </c>
      <c r="M120" s="346" t="s">
        <v>531</v>
      </c>
    </row>
    <row r="121" spans="1:14" ht="64.5" hidden="1" x14ac:dyDescent="0.25">
      <c r="A121" s="346"/>
      <c r="B121" s="347">
        <v>44981</v>
      </c>
      <c r="C121" s="346" t="s">
        <v>350</v>
      </c>
      <c r="D121" s="284" t="s">
        <v>351</v>
      </c>
      <c r="E121" s="284" t="s">
        <v>236</v>
      </c>
      <c r="F121" s="284">
        <v>3625000017</v>
      </c>
      <c r="G121" s="284">
        <v>44821190</v>
      </c>
      <c r="H121" s="346" t="s">
        <v>528</v>
      </c>
      <c r="I121" s="284" t="s">
        <v>529</v>
      </c>
      <c r="J121" s="284">
        <v>814</v>
      </c>
      <c r="K121" s="284">
        <v>309896588</v>
      </c>
      <c r="L121" s="348">
        <v>32000000</v>
      </c>
      <c r="M121" s="346" t="s">
        <v>532</v>
      </c>
    </row>
    <row r="122" spans="1:14" ht="39" hidden="1" x14ac:dyDescent="0.25">
      <c r="A122" s="346"/>
      <c r="B122" s="347">
        <v>44987</v>
      </c>
      <c r="C122" s="346" t="s">
        <v>350</v>
      </c>
      <c r="D122" s="284" t="s">
        <v>351</v>
      </c>
      <c r="E122" s="284" t="s">
        <v>259</v>
      </c>
      <c r="F122" s="284" t="s">
        <v>352</v>
      </c>
      <c r="G122" s="284">
        <v>44821190</v>
      </c>
      <c r="H122" s="346" t="s">
        <v>261</v>
      </c>
      <c r="I122" s="284" t="s">
        <v>262</v>
      </c>
      <c r="J122" s="284">
        <v>14</v>
      </c>
      <c r="K122" s="284">
        <v>201122919</v>
      </c>
      <c r="L122" s="348">
        <v>2688000</v>
      </c>
      <c r="M122" s="346" t="s">
        <v>353</v>
      </c>
    </row>
    <row r="123" spans="1:14" ht="77.25" x14ac:dyDescent="0.25">
      <c r="A123" s="346"/>
      <c r="B123" s="347">
        <v>44991</v>
      </c>
      <c r="C123" s="346" t="s">
        <v>350</v>
      </c>
      <c r="D123" s="284" t="s">
        <v>351</v>
      </c>
      <c r="E123" s="284" t="s">
        <v>236</v>
      </c>
      <c r="F123" s="284">
        <v>3625000020</v>
      </c>
      <c r="G123" s="284">
        <v>44721900</v>
      </c>
      <c r="H123" s="346" t="s">
        <v>354</v>
      </c>
      <c r="I123" s="284" t="s">
        <v>355</v>
      </c>
      <c r="J123" s="284">
        <v>814</v>
      </c>
      <c r="K123" s="284">
        <v>207215726</v>
      </c>
      <c r="L123" s="349">
        <v>168000000</v>
      </c>
      <c r="M123" s="346" t="s">
        <v>356</v>
      </c>
      <c r="N123" s="350"/>
    </row>
    <row r="124" spans="1:14" ht="77.25" hidden="1" x14ac:dyDescent="0.25">
      <c r="A124" s="346"/>
      <c r="B124" s="347">
        <v>44991</v>
      </c>
      <c r="C124" s="346" t="s">
        <v>350</v>
      </c>
      <c r="D124" s="284" t="s">
        <v>351</v>
      </c>
      <c r="E124" s="284" t="s">
        <v>236</v>
      </c>
      <c r="F124" s="284">
        <v>3625000021</v>
      </c>
      <c r="G124" s="284">
        <v>44821190</v>
      </c>
      <c r="H124" s="346" t="s">
        <v>354</v>
      </c>
      <c r="I124" s="284" t="s">
        <v>357</v>
      </c>
      <c r="J124" s="284">
        <v>814</v>
      </c>
      <c r="K124" s="284">
        <v>207215726</v>
      </c>
      <c r="L124" s="348">
        <v>1680000</v>
      </c>
      <c r="M124" s="346" t="s">
        <v>358</v>
      </c>
    </row>
    <row r="125" spans="1:14" ht="90" hidden="1" x14ac:dyDescent="0.25">
      <c r="A125" s="346"/>
      <c r="B125" s="347">
        <v>44992</v>
      </c>
      <c r="C125" s="346" t="s">
        <v>350</v>
      </c>
      <c r="D125" s="284" t="s">
        <v>351</v>
      </c>
      <c r="E125" s="284" t="s">
        <v>236</v>
      </c>
      <c r="F125" s="284">
        <v>3625000022</v>
      </c>
      <c r="G125" s="284">
        <v>44721900</v>
      </c>
      <c r="H125" s="346" t="s">
        <v>354</v>
      </c>
      <c r="I125" s="284" t="s">
        <v>355</v>
      </c>
      <c r="J125" s="284">
        <v>814</v>
      </c>
      <c r="K125" s="284">
        <v>207215726</v>
      </c>
      <c r="L125" s="348">
        <v>1680000</v>
      </c>
      <c r="M125" s="346" t="s">
        <v>359</v>
      </c>
      <c r="N125" s="352"/>
    </row>
    <row r="126" spans="1:14" ht="51.75" hidden="1" x14ac:dyDescent="0.25">
      <c r="A126" s="346"/>
      <c r="B126" s="347">
        <v>45012</v>
      </c>
      <c r="C126" s="346" t="s">
        <v>350</v>
      </c>
      <c r="D126" s="284" t="s">
        <v>351</v>
      </c>
      <c r="E126" s="284" t="s">
        <v>236</v>
      </c>
      <c r="F126" s="284">
        <v>3625000024</v>
      </c>
      <c r="G126" s="284">
        <v>44821190</v>
      </c>
      <c r="H126" s="346" t="s">
        <v>253</v>
      </c>
      <c r="I126" s="284" t="s">
        <v>254</v>
      </c>
      <c r="J126" s="284">
        <v>401</v>
      </c>
      <c r="K126" s="284">
        <v>200896691</v>
      </c>
      <c r="L126" s="348">
        <v>35900000</v>
      </c>
      <c r="M126" s="346" t="s">
        <v>360</v>
      </c>
    </row>
    <row r="127" spans="1:14" ht="64.5" hidden="1" x14ac:dyDescent="0.25">
      <c r="A127" s="346"/>
      <c r="B127" s="347">
        <v>45012</v>
      </c>
      <c r="C127" s="346" t="s">
        <v>350</v>
      </c>
      <c r="D127" s="284" t="s">
        <v>351</v>
      </c>
      <c r="E127" s="284" t="s">
        <v>259</v>
      </c>
      <c r="F127" s="284">
        <v>3625000001</v>
      </c>
      <c r="G127" s="284">
        <v>44821190</v>
      </c>
      <c r="H127" s="346" t="s">
        <v>261</v>
      </c>
      <c r="I127" s="284" t="s">
        <v>262</v>
      </c>
      <c r="J127" s="284">
        <v>14</v>
      </c>
      <c r="K127" s="284">
        <v>201122919</v>
      </c>
      <c r="L127" s="348">
        <v>2622000</v>
      </c>
      <c r="M127" s="346" t="s">
        <v>361</v>
      </c>
    </row>
    <row r="128" spans="1:14" ht="77.25" hidden="1" x14ac:dyDescent="0.25">
      <c r="A128" s="346"/>
      <c r="B128" s="347">
        <v>45012</v>
      </c>
      <c r="C128" s="346" t="s">
        <v>350</v>
      </c>
      <c r="D128" s="284" t="s">
        <v>351</v>
      </c>
      <c r="E128" s="284" t="s">
        <v>259</v>
      </c>
      <c r="F128" s="284">
        <v>3625000002</v>
      </c>
      <c r="G128" s="284">
        <v>44821190</v>
      </c>
      <c r="H128" s="346" t="s">
        <v>261</v>
      </c>
      <c r="I128" s="284" t="s">
        <v>262</v>
      </c>
      <c r="J128" s="284">
        <v>14</v>
      </c>
      <c r="K128" s="284">
        <v>201122919</v>
      </c>
      <c r="L128" s="348">
        <v>4500000</v>
      </c>
      <c r="M128" s="346" t="s">
        <v>362</v>
      </c>
    </row>
    <row r="129" spans="1:14" ht="64.5" hidden="1" x14ac:dyDescent="0.25">
      <c r="A129" s="346"/>
      <c r="B129" s="347">
        <v>45012</v>
      </c>
      <c r="C129" s="346" t="s">
        <v>350</v>
      </c>
      <c r="D129" s="284" t="s">
        <v>351</v>
      </c>
      <c r="E129" s="284" t="s">
        <v>236</v>
      </c>
      <c r="F129" s="284">
        <v>3625000026</v>
      </c>
      <c r="G129" s="284">
        <v>44821190</v>
      </c>
      <c r="H129" s="346" t="s">
        <v>363</v>
      </c>
      <c r="I129" s="284" t="s">
        <v>364</v>
      </c>
      <c r="J129" s="284">
        <v>808</v>
      </c>
      <c r="K129" s="284">
        <v>310127666</v>
      </c>
      <c r="L129" s="348">
        <v>2950000</v>
      </c>
      <c r="M129" s="346" t="s">
        <v>365</v>
      </c>
    </row>
    <row r="130" spans="1:14" ht="77.25" hidden="1" x14ac:dyDescent="0.25">
      <c r="A130" s="346"/>
      <c r="B130" s="347">
        <v>45013</v>
      </c>
      <c r="C130" s="346" t="s">
        <v>350</v>
      </c>
      <c r="D130" s="284" t="s">
        <v>351</v>
      </c>
      <c r="E130" s="284" t="s">
        <v>259</v>
      </c>
      <c r="F130" s="284">
        <v>3625000027</v>
      </c>
      <c r="G130" s="284">
        <v>44821190</v>
      </c>
      <c r="H130" s="346" t="s">
        <v>261</v>
      </c>
      <c r="I130" s="284" t="s">
        <v>262</v>
      </c>
      <c r="J130" s="284">
        <v>14</v>
      </c>
      <c r="K130" s="284">
        <v>201122919</v>
      </c>
      <c r="L130" s="348">
        <v>300000</v>
      </c>
      <c r="M130" s="346" t="s">
        <v>366</v>
      </c>
    </row>
    <row r="131" spans="1:14" ht="64.5" hidden="1" x14ac:dyDescent="0.25">
      <c r="A131" s="346"/>
      <c r="B131" s="347">
        <v>45013</v>
      </c>
      <c r="C131" s="346" t="s">
        <v>350</v>
      </c>
      <c r="D131" s="284" t="s">
        <v>351</v>
      </c>
      <c r="E131" s="284" t="s">
        <v>236</v>
      </c>
      <c r="F131" s="284">
        <v>3625000023</v>
      </c>
      <c r="G131" s="284">
        <v>44821190</v>
      </c>
      <c r="H131" s="346" t="s">
        <v>367</v>
      </c>
      <c r="I131" s="284" t="s">
        <v>368</v>
      </c>
      <c r="J131" s="284">
        <v>581</v>
      </c>
      <c r="K131" s="284">
        <v>306499008</v>
      </c>
      <c r="L131" s="348">
        <v>4500000</v>
      </c>
      <c r="M131" s="346" t="s">
        <v>369</v>
      </c>
    </row>
    <row r="132" spans="1:14" ht="77.25" hidden="1" x14ac:dyDescent="0.25">
      <c r="A132" s="346"/>
      <c r="B132" s="347">
        <v>45013</v>
      </c>
      <c r="C132" s="346" t="s">
        <v>350</v>
      </c>
      <c r="D132" s="284" t="s">
        <v>351</v>
      </c>
      <c r="E132" s="284" t="s">
        <v>259</v>
      </c>
      <c r="F132" s="284">
        <v>3625000028</v>
      </c>
      <c r="G132" s="284">
        <v>44821190</v>
      </c>
      <c r="H132" s="346" t="s">
        <v>261</v>
      </c>
      <c r="I132" s="284" t="s">
        <v>262</v>
      </c>
      <c r="J132" s="284">
        <v>14</v>
      </c>
      <c r="K132" s="284">
        <v>201122919</v>
      </c>
      <c r="L132" s="348">
        <v>267000</v>
      </c>
      <c r="M132" s="346" t="s">
        <v>370</v>
      </c>
    </row>
    <row r="133" spans="1:14" ht="90" x14ac:dyDescent="0.25">
      <c r="A133" s="346"/>
      <c r="B133" s="347">
        <v>45013</v>
      </c>
      <c r="C133" s="346" t="s">
        <v>350</v>
      </c>
      <c r="D133" s="284" t="s">
        <v>351</v>
      </c>
      <c r="E133" s="284" t="s">
        <v>236</v>
      </c>
      <c r="F133" s="284">
        <v>3625000029</v>
      </c>
      <c r="G133" s="284">
        <v>44721900</v>
      </c>
      <c r="H133" s="346" t="s">
        <v>354</v>
      </c>
      <c r="I133" s="284" t="s">
        <v>355</v>
      </c>
      <c r="J133" s="284">
        <v>814</v>
      </c>
      <c r="K133" s="284">
        <v>207215726</v>
      </c>
      <c r="L133" s="349">
        <v>96960000</v>
      </c>
      <c r="M133" s="346" t="s">
        <v>371</v>
      </c>
      <c r="N133" s="350"/>
    </row>
    <row r="134" spans="1:14" ht="90" hidden="1" x14ac:dyDescent="0.25">
      <c r="A134" s="346"/>
      <c r="B134" s="347">
        <v>45014</v>
      </c>
      <c r="C134" s="346" t="s">
        <v>350</v>
      </c>
      <c r="D134" s="284" t="s">
        <v>351</v>
      </c>
      <c r="E134" s="284" t="s">
        <v>236</v>
      </c>
      <c r="F134" s="284">
        <v>3625000034</v>
      </c>
      <c r="G134" s="284">
        <v>44821190</v>
      </c>
      <c r="H134" s="346" t="s">
        <v>354</v>
      </c>
      <c r="I134" s="284" t="s">
        <v>357</v>
      </c>
      <c r="J134" s="284">
        <v>814</v>
      </c>
      <c r="K134" s="284">
        <v>207215726</v>
      </c>
      <c r="L134" s="348">
        <v>750000</v>
      </c>
      <c r="M134" s="346" t="s">
        <v>372</v>
      </c>
    </row>
    <row r="135" spans="1:14" ht="90" hidden="1" x14ac:dyDescent="0.25">
      <c r="A135" s="346"/>
      <c r="B135" s="347">
        <v>45014</v>
      </c>
      <c r="C135" s="346" t="s">
        <v>350</v>
      </c>
      <c r="D135" s="284" t="s">
        <v>351</v>
      </c>
      <c r="E135" s="284" t="s">
        <v>236</v>
      </c>
      <c r="F135" s="284">
        <v>3625000037</v>
      </c>
      <c r="G135" s="284">
        <v>44821190</v>
      </c>
      <c r="H135" s="346" t="s">
        <v>354</v>
      </c>
      <c r="I135" s="284" t="s">
        <v>357</v>
      </c>
      <c r="J135" s="284">
        <v>814</v>
      </c>
      <c r="K135" s="284">
        <v>207215726</v>
      </c>
      <c r="L135" s="348">
        <v>750000</v>
      </c>
      <c r="M135" s="346" t="s">
        <v>373</v>
      </c>
    </row>
    <row r="136" spans="1:14" ht="90" hidden="1" x14ac:dyDescent="0.25">
      <c r="A136" s="346"/>
      <c r="B136" s="347">
        <v>45014</v>
      </c>
      <c r="C136" s="346" t="s">
        <v>350</v>
      </c>
      <c r="D136" s="284" t="s">
        <v>351</v>
      </c>
      <c r="E136" s="284" t="s">
        <v>236</v>
      </c>
      <c r="F136" s="284">
        <v>3625000039</v>
      </c>
      <c r="G136" s="284">
        <v>44821190</v>
      </c>
      <c r="H136" s="346" t="s">
        <v>354</v>
      </c>
      <c r="I136" s="284" t="s">
        <v>357</v>
      </c>
      <c r="J136" s="284">
        <v>814</v>
      </c>
      <c r="K136" s="284">
        <v>207215726</v>
      </c>
      <c r="L136" s="348">
        <v>1200000</v>
      </c>
      <c r="M136" s="346" t="s">
        <v>374</v>
      </c>
    </row>
    <row r="137" spans="1:14" ht="90" hidden="1" x14ac:dyDescent="0.25">
      <c r="A137" s="346"/>
      <c r="B137" s="347">
        <v>45014</v>
      </c>
      <c r="C137" s="346" t="s">
        <v>350</v>
      </c>
      <c r="D137" s="284" t="s">
        <v>351</v>
      </c>
      <c r="E137" s="284" t="s">
        <v>236</v>
      </c>
      <c r="F137" s="284">
        <v>3625000040</v>
      </c>
      <c r="G137" s="284">
        <v>44821190</v>
      </c>
      <c r="H137" s="346" t="s">
        <v>354</v>
      </c>
      <c r="I137" s="284" t="s">
        <v>357</v>
      </c>
      <c r="J137" s="284">
        <v>814</v>
      </c>
      <c r="K137" s="284">
        <v>207215726</v>
      </c>
      <c r="L137" s="348">
        <v>1200000</v>
      </c>
      <c r="M137" s="346" t="s">
        <v>375</v>
      </c>
    </row>
    <row r="138" spans="1:14" ht="90" hidden="1" x14ac:dyDescent="0.25">
      <c r="A138" s="346"/>
      <c r="B138" s="347">
        <v>45015</v>
      </c>
      <c r="C138" s="346" t="s">
        <v>350</v>
      </c>
      <c r="D138" s="284" t="s">
        <v>351</v>
      </c>
      <c r="E138" s="284" t="s">
        <v>236</v>
      </c>
      <c r="F138" s="284">
        <v>3625000038</v>
      </c>
      <c r="G138" s="284">
        <v>44821190</v>
      </c>
      <c r="H138" s="346" t="s">
        <v>354</v>
      </c>
      <c r="I138" s="284" t="s">
        <v>357</v>
      </c>
      <c r="J138" s="284">
        <v>814</v>
      </c>
      <c r="K138" s="284">
        <v>207215726</v>
      </c>
      <c r="L138" s="348">
        <v>1200000</v>
      </c>
      <c r="M138" s="346" t="s">
        <v>376</v>
      </c>
    </row>
    <row r="139" spans="1:14" ht="90" hidden="1" x14ac:dyDescent="0.25">
      <c r="A139" s="346"/>
      <c r="B139" s="347">
        <v>45015</v>
      </c>
      <c r="C139" s="346" t="s">
        <v>350</v>
      </c>
      <c r="D139" s="284" t="s">
        <v>351</v>
      </c>
      <c r="E139" s="284" t="s">
        <v>236</v>
      </c>
      <c r="F139" s="284">
        <v>3625000036</v>
      </c>
      <c r="G139" s="284">
        <v>44821190</v>
      </c>
      <c r="H139" s="346" t="s">
        <v>354</v>
      </c>
      <c r="I139" s="284" t="s">
        <v>357</v>
      </c>
      <c r="J139" s="284">
        <v>814</v>
      </c>
      <c r="K139" s="284">
        <v>207215726</v>
      </c>
      <c r="L139" s="348">
        <v>1500000</v>
      </c>
      <c r="M139" s="346" t="s">
        <v>377</v>
      </c>
    </row>
    <row r="140" spans="1:14" ht="90" hidden="1" x14ac:dyDescent="0.25">
      <c r="A140" s="346"/>
      <c r="B140" s="347">
        <v>45015</v>
      </c>
      <c r="C140" s="346" t="s">
        <v>350</v>
      </c>
      <c r="D140" s="284" t="s">
        <v>351</v>
      </c>
      <c r="E140" s="284" t="s">
        <v>236</v>
      </c>
      <c r="F140" s="284">
        <v>3625000035</v>
      </c>
      <c r="G140" s="284">
        <v>44821190</v>
      </c>
      <c r="H140" s="346" t="s">
        <v>354</v>
      </c>
      <c r="I140" s="284" t="s">
        <v>357</v>
      </c>
      <c r="J140" s="284">
        <v>814</v>
      </c>
      <c r="K140" s="284">
        <v>207215726</v>
      </c>
      <c r="L140" s="348">
        <v>1200000</v>
      </c>
      <c r="M140" s="346" t="s">
        <v>378</v>
      </c>
    </row>
    <row r="141" spans="1:14" ht="90" hidden="1" x14ac:dyDescent="0.25">
      <c r="A141" s="346"/>
      <c r="B141" s="347">
        <v>45015</v>
      </c>
      <c r="C141" s="346" t="s">
        <v>350</v>
      </c>
      <c r="D141" s="284" t="s">
        <v>351</v>
      </c>
      <c r="E141" s="284" t="s">
        <v>236</v>
      </c>
      <c r="F141" s="284">
        <v>3625000032</v>
      </c>
      <c r="G141" s="284">
        <v>44821190</v>
      </c>
      <c r="H141" s="346" t="s">
        <v>354</v>
      </c>
      <c r="I141" s="284" t="s">
        <v>357</v>
      </c>
      <c r="J141" s="284">
        <v>814</v>
      </c>
      <c r="K141" s="284">
        <v>207215726</v>
      </c>
      <c r="L141" s="348">
        <v>1200000</v>
      </c>
      <c r="M141" s="346" t="s">
        <v>379</v>
      </c>
    </row>
    <row r="142" spans="1:14" ht="90" hidden="1" x14ac:dyDescent="0.25">
      <c r="A142" s="346"/>
      <c r="B142" s="347">
        <v>45015</v>
      </c>
      <c r="C142" s="346" t="s">
        <v>350</v>
      </c>
      <c r="D142" s="284" t="s">
        <v>351</v>
      </c>
      <c r="E142" s="284" t="s">
        <v>236</v>
      </c>
      <c r="F142" s="284">
        <v>3625000033</v>
      </c>
      <c r="G142" s="284">
        <v>44821190</v>
      </c>
      <c r="H142" s="346" t="s">
        <v>354</v>
      </c>
      <c r="I142" s="284" t="s">
        <v>357</v>
      </c>
      <c r="J142" s="284">
        <v>814</v>
      </c>
      <c r="K142" s="284">
        <v>207215726</v>
      </c>
      <c r="L142" s="348">
        <v>1350000</v>
      </c>
      <c r="M142" s="346" t="s">
        <v>380</v>
      </c>
    </row>
    <row r="143" spans="1:14" ht="90" hidden="1" x14ac:dyDescent="0.25">
      <c r="A143" s="346"/>
      <c r="B143" s="347">
        <v>45015</v>
      </c>
      <c r="C143" s="346" t="s">
        <v>350</v>
      </c>
      <c r="D143" s="284" t="s">
        <v>351</v>
      </c>
      <c r="E143" s="284" t="s">
        <v>236</v>
      </c>
      <c r="F143" s="284">
        <v>3625000031</v>
      </c>
      <c r="G143" s="284">
        <v>44821190</v>
      </c>
      <c r="H143" s="346" t="s">
        <v>354</v>
      </c>
      <c r="I143" s="284" t="s">
        <v>357</v>
      </c>
      <c r="J143" s="284">
        <v>814</v>
      </c>
      <c r="K143" s="284">
        <v>207215726</v>
      </c>
      <c r="L143" s="348">
        <v>1200000</v>
      </c>
      <c r="M143" s="346" t="s">
        <v>381</v>
      </c>
    </row>
    <row r="144" spans="1:14" ht="77.25" x14ac:dyDescent="0.25">
      <c r="A144" s="346"/>
      <c r="B144" s="347">
        <v>45016</v>
      </c>
      <c r="C144" s="346" t="s">
        <v>350</v>
      </c>
      <c r="D144" s="284" t="s">
        <v>351</v>
      </c>
      <c r="E144" s="284" t="s">
        <v>236</v>
      </c>
      <c r="F144" s="284">
        <v>3625000042</v>
      </c>
      <c r="G144" s="284">
        <v>44721900</v>
      </c>
      <c r="H144" s="346" t="s">
        <v>354</v>
      </c>
      <c r="I144" s="284" t="s">
        <v>355</v>
      </c>
      <c r="J144" s="284">
        <v>814</v>
      </c>
      <c r="K144" s="284">
        <v>207215726</v>
      </c>
      <c r="L144" s="349">
        <v>189072000</v>
      </c>
      <c r="M144" s="346" t="s">
        <v>382</v>
      </c>
      <c r="N144" s="350"/>
    </row>
    <row r="145" spans="1:14" ht="39" hidden="1" x14ac:dyDescent="0.25">
      <c r="A145" s="346"/>
      <c r="B145" s="347">
        <v>45016</v>
      </c>
      <c r="C145" s="346" t="s">
        <v>350</v>
      </c>
      <c r="D145" s="284" t="s">
        <v>351</v>
      </c>
      <c r="E145" s="284" t="s">
        <v>259</v>
      </c>
      <c r="F145" s="284" t="s">
        <v>383</v>
      </c>
      <c r="G145" s="284">
        <v>44821190</v>
      </c>
      <c r="H145" s="346" t="s">
        <v>261</v>
      </c>
      <c r="I145" s="284" t="s">
        <v>262</v>
      </c>
      <c r="J145" s="284">
        <v>14</v>
      </c>
      <c r="K145" s="284">
        <v>201122919</v>
      </c>
      <c r="L145" s="348">
        <v>5700000</v>
      </c>
      <c r="M145" s="346" t="s">
        <v>384</v>
      </c>
    </row>
    <row r="146" spans="1:14" hidden="1" x14ac:dyDescent="0.25">
      <c r="A146" s="641" t="s">
        <v>385</v>
      </c>
      <c r="B146" s="642"/>
      <c r="C146" s="642"/>
      <c r="D146" s="642"/>
      <c r="E146" s="642"/>
      <c r="F146" s="642"/>
      <c r="G146" s="642"/>
      <c r="H146" s="642"/>
      <c r="I146" s="642"/>
      <c r="J146" s="642"/>
      <c r="K146" s="643"/>
      <c r="L146" s="348">
        <v>618506541.75</v>
      </c>
      <c r="M146" s="284"/>
    </row>
    <row r="147" spans="1:14" hidden="1" x14ac:dyDescent="0.25">
      <c r="A147" s="641" t="s">
        <v>50</v>
      </c>
      <c r="B147" s="642"/>
      <c r="C147" s="642"/>
      <c r="D147" s="642"/>
      <c r="E147" s="642"/>
      <c r="F147" s="642"/>
      <c r="G147" s="642"/>
      <c r="H147" s="642"/>
      <c r="I147" s="642"/>
      <c r="J147" s="642"/>
      <c r="K147" s="643"/>
      <c r="L147" s="345"/>
      <c r="M147" s="284"/>
    </row>
    <row r="148" spans="1:14" ht="51.75" hidden="1" x14ac:dyDescent="0.25">
      <c r="A148" s="346"/>
      <c r="B148" s="347">
        <v>44935</v>
      </c>
      <c r="C148" s="346" t="s">
        <v>386</v>
      </c>
      <c r="D148" s="284" t="s">
        <v>387</v>
      </c>
      <c r="E148" s="284" t="s">
        <v>236</v>
      </c>
      <c r="F148" s="284">
        <v>3589400128</v>
      </c>
      <c r="G148" s="284">
        <v>44821190</v>
      </c>
      <c r="H148" s="346" t="s">
        <v>394</v>
      </c>
      <c r="I148" s="284" t="s">
        <v>395</v>
      </c>
      <c r="J148" s="284">
        <v>819</v>
      </c>
      <c r="K148" s="284">
        <v>305137164</v>
      </c>
      <c r="L148" s="348">
        <v>6000000</v>
      </c>
      <c r="M148" s="346" t="s">
        <v>533</v>
      </c>
    </row>
    <row r="149" spans="1:14" ht="51.75" hidden="1" x14ac:dyDescent="0.25">
      <c r="A149" s="346"/>
      <c r="B149" s="347">
        <v>44960</v>
      </c>
      <c r="C149" s="346" t="s">
        <v>386</v>
      </c>
      <c r="D149" s="284" t="s">
        <v>387</v>
      </c>
      <c r="E149" s="284" t="s">
        <v>236</v>
      </c>
      <c r="F149" s="284">
        <v>3589400129</v>
      </c>
      <c r="G149" s="284">
        <v>44821190</v>
      </c>
      <c r="H149" s="346" t="s">
        <v>388</v>
      </c>
      <c r="I149" s="284" t="s">
        <v>534</v>
      </c>
      <c r="J149" s="284">
        <v>1020</v>
      </c>
      <c r="K149" s="284">
        <v>308436431</v>
      </c>
      <c r="L149" s="348">
        <v>7280000</v>
      </c>
      <c r="M149" s="346" t="s">
        <v>535</v>
      </c>
    </row>
    <row r="150" spans="1:14" ht="64.5" hidden="1" x14ac:dyDescent="0.25">
      <c r="A150" s="346"/>
      <c r="B150" s="347">
        <v>44964</v>
      </c>
      <c r="C150" s="346" t="s">
        <v>386</v>
      </c>
      <c r="D150" s="284" t="s">
        <v>387</v>
      </c>
      <c r="E150" s="284" t="s">
        <v>236</v>
      </c>
      <c r="F150" s="284">
        <v>3589400130</v>
      </c>
      <c r="G150" s="284">
        <v>44821190</v>
      </c>
      <c r="H150" s="346" t="s">
        <v>391</v>
      </c>
      <c r="I150" s="284" t="s">
        <v>536</v>
      </c>
      <c r="J150" s="284">
        <v>819</v>
      </c>
      <c r="K150" s="284">
        <v>207215726</v>
      </c>
      <c r="L150" s="348">
        <v>400000</v>
      </c>
      <c r="M150" s="346" t="s">
        <v>537</v>
      </c>
    </row>
    <row r="151" spans="1:14" ht="64.5" hidden="1" x14ac:dyDescent="0.25">
      <c r="A151" s="346"/>
      <c r="B151" s="347">
        <v>44964</v>
      </c>
      <c r="C151" s="346" t="s">
        <v>386</v>
      </c>
      <c r="D151" s="284" t="s">
        <v>387</v>
      </c>
      <c r="E151" s="284" t="s">
        <v>236</v>
      </c>
      <c r="F151" s="284">
        <v>3589400131</v>
      </c>
      <c r="G151" s="284">
        <v>44821190</v>
      </c>
      <c r="H151" s="346" t="s">
        <v>538</v>
      </c>
      <c r="I151" s="284" t="s">
        <v>539</v>
      </c>
      <c r="J151" s="284">
        <v>574</v>
      </c>
      <c r="K151" s="284">
        <v>207243390</v>
      </c>
      <c r="L151" s="348">
        <v>2100000</v>
      </c>
      <c r="M151" s="346" t="s">
        <v>540</v>
      </c>
    </row>
    <row r="152" spans="1:14" ht="64.5" hidden="1" x14ac:dyDescent="0.25">
      <c r="A152" s="346"/>
      <c r="B152" s="347">
        <v>44964</v>
      </c>
      <c r="C152" s="346" t="s">
        <v>386</v>
      </c>
      <c r="D152" s="284" t="s">
        <v>387</v>
      </c>
      <c r="E152" s="284" t="s">
        <v>236</v>
      </c>
      <c r="F152" s="284">
        <v>3589400132</v>
      </c>
      <c r="G152" s="284">
        <v>44821190</v>
      </c>
      <c r="H152" s="346" t="s">
        <v>391</v>
      </c>
      <c r="I152" s="284" t="s">
        <v>541</v>
      </c>
      <c r="J152" s="284">
        <v>819</v>
      </c>
      <c r="K152" s="284">
        <v>207215726</v>
      </c>
      <c r="L152" s="348">
        <v>1600000</v>
      </c>
      <c r="M152" s="346" t="s">
        <v>540</v>
      </c>
    </row>
    <row r="153" spans="1:14" ht="77.25" hidden="1" x14ac:dyDescent="0.25">
      <c r="A153" s="346"/>
      <c r="B153" s="347">
        <v>44964</v>
      </c>
      <c r="C153" s="346" t="s">
        <v>386</v>
      </c>
      <c r="D153" s="284" t="s">
        <v>387</v>
      </c>
      <c r="E153" s="284" t="s">
        <v>236</v>
      </c>
      <c r="F153" s="284">
        <v>3589400133</v>
      </c>
      <c r="G153" s="284">
        <v>44821190</v>
      </c>
      <c r="H153" s="346" t="s">
        <v>542</v>
      </c>
      <c r="I153" s="284" t="s">
        <v>543</v>
      </c>
      <c r="J153" s="284">
        <v>1129</v>
      </c>
      <c r="K153" s="284">
        <v>206942764</v>
      </c>
      <c r="L153" s="348">
        <v>400000</v>
      </c>
      <c r="M153" s="346" t="s">
        <v>544</v>
      </c>
    </row>
    <row r="154" spans="1:14" ht="39" hidden="1" x14ac:dyDescent="0.25">
      <c r="A154" s="346"/>
      <c r="B154" s="347">
        <v>44974</v>
      </c>
      <c r="C154" s="346" t="s">
        <v>386</v>
      </c>
      <c r="D154" s="284" t="s">
        <v>387</v>
      </c>
      <c r="E154" s="284" t="s">
        <v>259</v>
      </c>
      <c r="F154" s="284" t="s">
        <v>545</v>
      </c>
      <c r="G154" s="284">
        <v>44821190</v>
      </c>
      <c r="H154" s="346" t="s">
        <v>261</v>
      </c>
      <c r="I154" s="284" t="s">
        <v>262</v>
      </c>
      <c r="J154" s="284">
        <v>14</v>
      </c>
      <c r="K154" s="284">
        <v>201122919</v>
      </c>
      <c r="L154" s="348">
        <v>1500000</v>
      </c>
      <c r="M154" s="346" t="s">
        <v>546</v>
      </c>
    </row>
    <row r="155" spans="1:14" ht="64.5" hidden="1" x14ac:dyDescent="0.25">
      <c r="A155" s="346"/>
      <c r="B155" s="347">
        <v>44988</v>
      </c>
      <c r="C155" s="346" t="s">
        <v>386</v>
      </c>
      <c r="D155" s="284" t="s">
        <v>387</v>
      </c>
      <c r="E155" s="284" t="s">
        <v>236</v>
      </c>
      <c r="F155" s="284">
        <v>3589400134</v>
      </c>
      <c r="G155" s="284">
        <v>44821190</v>
      </c>
      <c r="H155" s="346" t="s">
        <v>388</v>
      </c>
      <c r="I155" s="284" t="s">
        <v>389</v>
      </c>
      <c r="J155" s="284">
        <v>83</v>
      </c>
      <c r="K155" s="284">
        <v>308436431</v>
      </c>
      <c r="L155" s="348">
        <v>55000000</v>
      </c>
      <c r="M155" s="346" t="s">
        <v>390</v>
      </c>
    </row>
    <row r="156" spans="1:14" ht="64.5" x14ac:dyDescent="0.25">
      <c r="A156" s="346"/>
      <c r="B156" s="347">
        <v>44992</v>
      </c>
      <c r="C156" s="346" t="s">
        <v>386</v>
      </c>
      <c r="D156" s="284" t="s">
        <v>387</v>
      </c>
      <c r="E156" s="284" t="s">
        <v>236</v>
      </c>
      <c r="F156" s="284">
        <v>3589400135</v>
      </c>
      <c r="G156" s="284">
        <v>44721900</v>
      </c>
      <c r="H156" s="346" t="s">
        <v>391</v>
      </c>
      <c r="I156" s="284" t="s">
        <v>392</v>
      </c>
      <c r="J156" s="284">
        <v>819</v>
      </c>
      <c r="K156" s="284">
        <v>207215726</v>
      </c>
      <c r="L156" s="349">
        <v>106656000</v>
      </c>
      <c r="M156" s="346" t="s">
        <v>393</v>
      </c>
      <c r="N156" s="285"/>
    </row>
    <row r="157" spans="1:14" ht="51.75" hidden="1" x14ac:dyDescent="0.25">
      <c r="A157" s="346"/>
      <c r="B157" s="347">
        <v>44995</v>
      </c>
      <c r="C157" s="346" t="s">
        <v>386</v>
      </c>
      <c r="D157" s="284" t="s">
        <v>387</v>
      </c>
      <c r="E157" s="284" t="s">
        <v>236</v>
      </c>
      <c r="F157" s="284">
        <v>3589400136</v>
      </c>
      <c r="G157" s="284">
        <v>44821190</v>
      </c>
      <c r="H157" s="346" t="s">
        <v>394</v>
      </c>
      <c r="I157" s="284" t="s">
        <v>395</v>
      </c>
      <c r="J157" s="284">
        <v>819</v>
      </c>
      <c r="K157" s="284">
        <v>305137164</v>
      </c>
      <c r="L157" s="348">
        <v>6000000</v>
      </c>
      <c r="M157" s="346" t="s">
        <v>396</v>
      </c>
    </row>
    <row r="158" spans="1:14" ht="51.75" hidden="1" x14ac:dyDescent="0.25">
      <c r="A158" s="346"/>
      <c r="B158" s="347">
        <v>45009</v>
      </c>
      <c r="C158" s="346" t="s">
        <v>386</v>
      </c>
      <c r="D158" s="284" t="s">
        <v>387</v>
      </c>
      <c r="E158" s="284" t="s">
        <v>236</v>
      </c>
      <c r="F158" s="284">
        <v>3589400137</v>
      </c>
      <c r="G158" s="284">
        <v>44821190</v>
      </c>
      <c r="H158" s="346" t="s">
        <v>397</v>
      </c>
      <c r="I158" s="284" t="s">
        <v>398</v>
      </c>
      <c r="J158" s="284">
        <v>83</v>
      </c>
      <c r="K158" s="284">
        <v>204707978</v>
      </c>
      <c r="L158" s="348">
        <v>5718900</v>
      </c>
      <c r="M158" s="346" t="s">
        <v>399</v>
      </c>
    </row>
    <row r="159" spans="1:14" ht="51.75" hidden="1" x14ac:dyDescent="0.25">
      <c r="A159" s="346"/>
      <c r="B159" s="347">
        <v>45010</v>
      </c>
      <c r="C159" s="346" t="s">
        <v>386</v>
      </c>
      <c r="D159" s="284" t="s">
        <v>387</v>
      </c>
      <c r="E159" s="284" t="s">
        <v>236</v>
      </c>
      <c r="F159" s="284">
        <v>3589400138</v>
      </c>
      <c r="G159" s="284">
        <v>44821190</v>
      </c>
      <c r="H159" s="346" t="s">
        <v>253</v>
      </c>
      <c r="I159" s="284" t="s">
        <v>254</v>
      </c>
      <c r="J159" s="284">
        <v>401</v>
      </c>
      <c r="K159" s="284">
        <v>200896691</v>
      </c>
      <c r="L159" s="348">
        <v>27000000</v>
      </c>
      <c r="M159" s="346" t="s">
        <v>400</v>
      </c>
    </row>
    <row r="160" spans="1:14" hidden="1" x14ac:dyDescent="0.25">
      <c r="A160" s="641" t="s">
        <v>401</v>
      </c>
      <c r="B160" s="642"/>
      <c r="C160" s="642"/>
      <c r="D160" s="642"/>
      <c r="E160" s="642"/>
      <c r="F160" s="642"/>
      <c r="G160" s="642"/>
      <c r="H160" s="642"/>
      <c r="I160" s="642"/>
      <c r="J160" s="642"/>
      <c r="K160" s="643"/>
      <c r="L160" s="348">
        <v>219654900</v>
      </c>
      <c r="M160" s="284"/>
    </row>
    <row r="161" spans="1:13" hidden="1" x14ac:dyDescent="0.25">
      <c r="A161" s="641" t="s">
        <v>51</v>
      </c>
      <c r="B161" s="642"/>
      <c r="C161" s="642"/>
      <c r="D161" s="642"/>
      <c r="E161" s="642"/>
      <c r="F161" s="642"/>
      <c r="G161" s="642"/>
      <c r="H161" s="642"/>
      <c r="I161" s="642"/>
      <c r="J161" s="642"/>
      <c r="K161" s="643"/>
      <c r="L161" s="345"/>
      <c r="M161" s="284"/>
    </row>
    <row r="162" spans="1:13" ht="64.5" x14ac:dyDescent="0.25">
      <c r="A162" s="346"/>
      <c r="B162" s="347">
        <v>45009</v>
      </c>
      <c r="C162" s="346" t="s">
        <v>402</v>
      </c>
      <c r="D162" s="284" t="s">
        <v>403</v>
      </c>
      <c r="E162" s="284" t="s">
        <v>236</v>
      </c>
      <c r="F162" s="284">
        <v>3589600112</v>
      </c>
      <c r="G162" s="284">
        <v>44721900</v>
      </c>
      <c r="H162" s="346" t="s">
        <v>404</v>
      </c>
      <c r="I162" s="284" t="s">
        <v>405</v>
      </c>
      <c r="J162" s="284">
        <v>811</v>
      </c>
      <c r="K162" s="284">
        <v>207215726</v>
      </c>
      <c r="L162" s="349">
        <v>484800000</v>
      </c>
      <c r="M162" s="346" t="s">
        <v>406</v>
      </c>
    </row>
    <row r="163" spans="1:13" ht="39" hidden="1" x14ac:dyDescent="0.25">
      <c r="A163" s="346"/>
      <c r="B163" s="347">
        <v>45010</v>
      </c>
      <c r="C163" s="346" t="s">
        <v>402</v>
      </c>
      <c r="D163" s="284" t="s">
        <v>403</v>
      </c>
      <c r="E163" s="284" t="s">
        <v>236</v>
      </c>
      <c r="F163" s="284">
        <v>3589600113</v>
      </c>
      <c r="G163" s="284">
        <v>44821190</v>
      </c>
      <c r="H163" s="346" t="s">
        <v>253</v>
      </c>
      <c r="I163" s="284" t="s">
        <v>254</v>
      </c>
      <c r="J163" s="284">
        <v>401</v>
      </c>
      <c r="K163" s="284">
        <v>200896691</v>
      </c>
      <c r="L163" s="348">
        <v>45200000</v>
      </c>
      <c r="M163" s="346" t="s">
        <v>407</v>
      </c>
    </row>
    <row r="164" spans="1:13" ht="77.25" hidden="1" x14ac:dyDescent="0.25">
      <c r="A164" s="346"/>
      <c r="B164" s="347">
        <v>45016</v>
      </c>
      <c r="C164" s="346" t="s">
        <v>402</v>
      </c>
      <c r="D164" s="284" t="s">
        <v>403</v>
      </c>
      <c r="E164" s="284" t="s">
        <v>236</v>
      </c>
      <c r="F164" s="284">
        <v>3589600114</v>
      </c>
      <c r="G164" s="284">
        <v>44821190</v>
      </c>
      <c r="H164" s="346" t="s">
        <v>404</v>
      </c>
      <c r="I164" s="284" t="s">
        <v>408</v>
      </c>
      <c r="J164" s="284">
        <v>811</v>
      </c>
      <c r="K164" s="284">
        <v>207215726</v>
      </c>
      <c r="L164" s="348">
        <v>1200000</v>
      </c>
      <c r="M164" s="346" t="s">
        <v>409</v>
      </c>
    </row>
    <row r="165" spans="1:13" hidden="1" x14ac:dyDescent="0.25">
      <c r="A165" s="641" t="s">
        <v>410</v>
      </c>
      <c r="B165" s="642"/>
      <c r="C165" s="642"/>
      <c r="D165" s="642"/>
      <c r="E165" s="642"/>
      <c r="F165" s="642"/>
      <c r="G165" s="642"/>
      <c r="H165" s="642"/>
      <c r="I165" s="642"/>
      <c r="J165" s="642"/>
      <c r="K165" s="643"/>
      <c r="L165" s="348">
        <v>531200000</v>
      </c>
      <c r="M165" s="284"/>
    </row>
    <row r="166" spans="1:13" hidden="1" x14ac:dyDescent="0.25">
      <c r="A166" s="641" t="s">
        <v>52</v>
      </c>
      <c r="B166" s="642"/>
      <c r="C166" s="642"/>
      <c r="D166" s="642"/>
      <c r="E166" s="642"/>
      <c r="F166" s="642"/>
      <c r="G166" s="642"/>
      <c r="H166" s="642"/>
      <c r="I166" s="642"/>
      <c r="J166" s="642"/>
      <c r="K166" s="643"/>
      <c r="L166" s="345"/>
      <c r="M166" s="284"/>
    </row>
    <row r="167" spans="1:13" ht="51.75" hidden="1" x14ac:dyDescent="0.25">
      <c r="A167" s="346"/>
      <c r="B167" s="347">
        <v>44979</v>
      </c>
      <c r="C167" s="346" t="s">
        <v>411</v>
      </c>
      <c r="D167" s="284" t="s">
        <v>412</v>
      </c>
      <c r="E167" s="284" t="s">
        <v>236</v>
      </c>
      <c r="F167" s="284">
        <v>3628600016</v>
      </c>
      <c r="G167" s="284">
        <v>44821190</v>
      </c>
      <c r="H167" s="346" t="s">
        <v>547</v>
      </c>
      <c r="I167" s="284" t="s">
        <v>548</v>
      </c>
      <c r="J167" s="284">
        <v>1017</v>
      </c>
      <c r="K167" s="284">
        <v>308473933</v>
      </c>
      <c r="L167" s="348">
        <v>18000000</v>
      </c>
      <c r="M167" s="346" t="s">
        <v>549</v>
      </c>
    </row>
    <row r="168" spans="1:13" ht="64.5" hidden="1" x14ac:dyDescent="0.25">
      <c r="A168" s="346"/>
      <c r="B168" s="347">
        <v>44996</v>
      </c>
      <c r="C168" s="346" t="s">
        <v>411</v>
      </c>
      <c r="D168" s="284" t="s">
        <v>412</v>
      </c>
      <c r="E168" s="284" t="s">
        <v>236</v>
      </c>
      <c r="F168" s="284">
        <v>3628600017</v>
      </c>
      <c r="G168" s="284">
        <v>44821190</v>
      </c>
      <c r="H168" s="346" t="s">
        <v>413</v>
      </c>
      <c r="I168" s="284" t="s">
        <v>414</v>
      </c>
      <c r="J168" s="284">
        <v>579</v>
      </c>
      <c r="K168" s="284">
        <v>307512045</v>
      </c>
      <c r="L168" s="348">
        <v>224250000</v>
      </c>
      <c r="M168" s="346" t="s">
        <v>415</v>
      </c>
    </row>
    <row r="169" spans="1:13" ht="64.5" hidden="1" x14ac:dyDescent="0.25">
      <c r="A169" s="346"/>
      <c r="B169" s="347">
        <v>44999</v>
      </c>
      <c r="C169" s="346" t="s">
        <v>411</v>
      </c>
      <c r="D169" s="284" t="s">
        <v>412</v>
      </c>
      <c r="E169" s="284" t="s">
        <v>236</v>
      </c>
      <c r="F169" s="284">
        <v>3628600018</v>
      </c>
      <c r="G169" s="284">
        <v>44821190</v>
      </c>
      <c r="H169" s="346" t="s">
        <v>413</v>
      </c>
      <c r="I169" s="284" t="s">
        <v>414</v>
      </c>
      <c r="J169" s="284">
        <v>579</v>
      </c>
      <c r="K169" s="284">
        <v>307512045</v>
      </c>
      <c r="L169" s="348">
        <v>20000000</v>
      </c>
      <c r="M169" s="346" t="s">
        <v>416</v>
      </c>
    </row>
    <row r="170" spans="1:13" ht="51.75" x14ac:dyDescent="0.25">
      <c r="A170" s="346"/>
      <c r="B170" s="347">
        <v>45009</v>
      </c>
      <c r="C170" s="346" t="s">
        <v>411</v>
      </c>
      <c r="D170" s="284" t="s">
        <v>412</v>
      </c>
      <c r="E170" s="284" t="s">
        <v>236</v>
      </c>
      <c r="F170" s="284">
        <v>3628600019</v>
      </c>
      <c r="G170" s="284">
        <v>44721900</v>
      </c>
      <c r="H170" s="346" t="s">
        <v>417</v>
      </c>
      <c r="I170" s="284" t="s">
        <v>418</v>
      </c>
      <c r="J170" s="284">
        <v>578</v>
      </c>
      <c r="K170" s="284">
        <v>206918594</v>
      </c>
      <c r="L170" s="349">
        <v>393600000</v>
      </c>
      <c r="M170" s="346" t="s">
        <v>419</v>
      </c>
    </row>
    <row r="171" spans="1:13" ht="39" hidden="1" x14ac:dyDescent="0.25">
      <c r="A171" s="346"/>
      <c r="B171" s="347">
        <v>45012</v>
      </c>
      <c r="C171" s="346" t="s">
        <v>411</v>
      </c>
      <c r="D171" s="284" t="s">
        <v>412</v>
      </c>
      <c r="E171" s="284" t="s">
        <v>236</v>
      </c>
      <c r="F171" s="284">
        <v>3628600020</v>
      </c>
      <c r="G171" s="284">
        <v>44821190</v>
      </c>
      <c r="H171" s="346" t="s">
        <v>253</v>
      </c>
      <c r="I171" s="284" t="s">
        <v>254</v>
      </c>
      <c r="J171" s="284">
        <v>401</v>
      </c>
      <c r="K171" s="284">
        <v>200896691</v>
      </c>
      <c r="L171" s="348">
        <v>28800000</v>
      </c>
      <c r="M171" s="346" t="s">
        <v>420</v>
      </c>
    </row>
    <row r="172" spans="1:13" hidden="1" x14ac:dyDescent="0.25">
      <c r="A172" s="641" t="s">
        <v>421</v>
      </c>
      <c r="B172" s="642"/>
      <c r="C172" s="642"/>
      <c r="D172" s="642"/>
      <c r="E172" s="642"/>
      <c r="F172" s="642"/>
      <c r="G172" s="642"/>
      <c r="H172" s="642"/>
      <c r="I172" s="642"/>
      <c r="J172" s="642"/>
      <c r="K172" s="643"/>
      <c r="L172" s="348">
        <v>684650000</v>
      </c>
      <c r="M172" s="284"/>
    </row>
    <row r="173" spans="1:13" hidden="1" x14ac:dyDescent="0.25">
      <c r="A173" s="641" t="s">
        <v>53</v>
      </c>
      <c r="B173" s="642"/>
      <c r="C173" s="642"/>
      <c r="D173" s="642"/>
      <c r="E173" s="642"/>
      <c r="F173" s="642"/>
      <c r="G173" s="642"/>
      <c r="H173" s="642"/>
      <c r="I173" s="642"/>
      <c r="J173" s="642"/>
      <c r="K173" s="643"/>
      <c r="L173" s="345"/>
      <c r="M173" s="284"/>
    </row>
    <row r="174" spans="1:13" ht="64.5" x14ac:dyDescent="0.25">
      <c r="A174" s="346"/>
      <c r="B174" s="347">
        <v>45009</v>
      </c>
      <c r="C174" s="346" t="s">
        <v>422</v>
      </c>
      <c r="D174" s="284" t="s">
        <v>423</v>
      </c>
      <c r="E174" s="284" t="s">
        <v>236</v>
      </c>
      <c r="F174" s="284">
        <v>3622500012</v>
      </c>
      <c r="G174" s="284">
        <v>44721900</v>
      </c>
      <c r="H174" s="346" t="s">
        <v>424</v>
      </c>
      <c r="I174" s="284" t="s">
        <v>425</v>
      </c>
      <c r="J174" s="284">
        <v>818</v>
      </c>
      <c r="K174" s="284">
        <v>206918594</v>
      </c>
      <c r="L174" s="349">
        <v>205200000</v>
      </c>
      <c r="M174" s="346" t="s">
        <v>426</v>
      </c>
    </row>
    <row r="175" spans="1:13" ht="64.5" hidden="1" x14ac:dyDescent="0.25">
      <c r="A175" s="346"/>
      <c r="B175" s="347">
        <v>45010</v>
      </c>
      <c r="C175" s="346" t="s">
        <v>422</v>
      </c>
      <c r="D175" s="284" t="s">
        <v>423</v>
      </c>
      <c r="E175" s="284" t="s">
        <v>236</v>
      </c>
      <c r="F175" s="284">
        <v>3622500013</v>
      </c>
      <c r="G175" s="284">
        <v>44821190</v>
      </c>
      <c r="H175" s="346" t="s">
        <v>253</v>
      </c>
      <c r="I175" s="284" t="s">
        <v>254</v>
      </c>
      <c r="J175" s="284">
        <v>401</v>
      </c>
      <c r="K175" s="284">
        <v>200896691</v>
      </c>
      <c r="L175" s="348">
        <v>17200000</v>
      </c>
      <c r="M175" s="346" t="s">
        <v>427</v>
      </c>
    </row>
    <row r="176" spans="1:13" ht="64.5" hidden="1" x14ac:dyDescent="0.25">
      <c r="A176" s="346"/>
      <c r="B176" s="347">
        <v>45015</v>
      </c>
      <c r="C176" s="346" t="s">
        <v>422</v>
      </c>
      <c r="D176" s="284" t="s">
        <v>423</v>
      </c>
      <c r="E176" s="284" t="s">
        <v>259</v>
      </c>
      <c r="F176" s="284">
        <v>3622500022</v>
      </c>
      <c r="G176" s="284">
        <v>44821190</v>
      </c>
      <c r="H176" s="346" t="s">
        <v>261</v>
      </c>
      <c r="I176" s="284" t="s">
        <v>262</v>
      </c>
      <c r="J176" s="284">
        <v>14</v>
      </c>
      <c r="K176" s="284">
        <v>201122919</v>
      </c>
      <c r="L176" s="348">
        <v>2430000</v>
      </c>
      <c r="M176" s="346" t="s">
        <v>428</v>
      </c>
    </row>
    <row r="177" spans="1:14" ht="64.5" hidden="1" x14ac:dyDescent="0.25">
      <c r="A177" s="346"/>
      <c r="B177" s="347">
        <v>45015</v>
      </c>
      <c r="C177" s="346" t="s">
        <v>422</v>
      </c>
      <c r="D177" s="284" t="s">
        <v>423</v>
      </c>
      <c r="E177" s="284" t="s">
        <v>259</v>
      </c>
      <c r="F177" s="284">
        <v>3622500019</v>
      </c>
      <c r="G177" s="284">
        <v>44821190</v>
      </c>
      <c r="H177" s="346" t="s">
        <v>261</v>
      </c>
      <c r="I177" s="284" t="s">
        <v>262</v>
      </c>
      <c r="J177" s="284">
        <v>14</v>
      </c>
      <c r="K177" s="284">
        <v>201122919</v>
      </c>
      <c r="L177" s="348">
        <v>2560000</v>
      </c>
      <c r="M177" s="346" t="s">
        <v>429</v>
      </c>
    </row>
    <row r="178" spans="1:14" ht="64.5" hidden="1" x14ac:dyDescent="0.25">
      <c r="A178" s="346"/>
      <c r="B178" s="347">
        <v>45015</v>
      </c>
      <c r="C178" s="346" t="s">
        <v>422</v>
      </c>
      <c r="D178" s="284" t="s">
        <v>423</v>
      </c>
      <c r="E178" s="284" t="s">
        <v>259</v>
      </c>
      <c r="F178" s="284">
        <v>3622500021</v>
      </c>
      <c r="G178" s="284">
        <v>44821190</v>
      </c>
      <c r="H178" s="346" t="s">
        <v>261</v>
      </c>
      <c r="I178" s="284" t="s">
        <v>262</v>
      </c>
      <c r="J178" s="284">
        <v>14</v>
      </c>
      <c r="K178" s="284">
        <v>201122919</v>
      </c>
      <c r="L178" s="348">
        <v>6000000</v>
      </c>
      <c r="M178" s="346" t="s">
        <v>430</v>
      </c>
    </row>
    <row r="179" spans="1:14" ht="64.5" hidden="1" x14ac:dyDescent="0.25">
      <c r="A179" s="346"/>
      <c r="B179" s="347">
        <v>45015</v>
      </c>
      <c r="C179" s="346" t="s">
        <v>422</v>
      </c>
      <c r="D179" s="284" t="s">
        <v>423</v>
      </c>
      <c r="E179" s="284" t="s">
        <v>259</v>
      </c>
      <c r="F179" s="284">
        <v>3622500020</v>
      </c>
      <c r="G179" s="284">
        <v>44821190</v>
      </c>
      <c r="H179" s="346" t="s">
        <v>261</v>
      </c>
      <c r="I179" s="284" t="s">
        <v>262</v>
      </c>
      <c r="J179" s="284">
        <v>14</v>
      </c>
      <c r="K179" s="284">
        <v>201122919</v>
      </c>
      <c r="L179" s="348">
        <v>6000000</v>
      </c>
      <c r="M179" s="346" t="s">
        <v>431</v>
      </c>
    </row>
    <row r="180" spans="1:14" ht="64.5" hidden="1" x14ac:dyDescent="0.25">
      <c r="A180" s="346"/>
      <c r="B180" s="347">
        <v>45015</v>
      </c>
      <c r="C180" s="346" t="s">
        <v>422</v>
      </c>
      <c r="D180" s="284" t="s">
        <v>423</v>
      </c>
      <c r="E180" s="284" t="s">
        <v>236</v>
      </c>
      <c r="F180" s="284">
        <v>3622500014</v>
      </c>
      <c r="G180" s="284">
        <v>44821190</v>
      </c>
      <c r="H180" s="346" t="s">
        <v>432</v>
      </c>
      <c r="I180" s="284" t="s">
        <v>433</v>
      </c>
      <c r="J180" s="284">
        <v>901</v>
      </c>
      <c r="K180" s="284">
        <v>305508177</v>
      </c>
      <c r="L180" s="348">
        <v>5950000</v>
      </c>
      <c r="M180" s="346" t="s">
        <v>434</v>
      </c>
    </row>
    <row r="181" spans="1:14" ht="64.5" hidden="1" x14ac:dyDescent="0.25">
      <c r="A181" s="346"/>
      <c r="B181" s="347">
        <v>45016</v>
      </c>
      <c r="C181" s="346" t="s">
        <v>422</v>
      </c>
      <c r="D181" s="284" t="s">
        <v>423</v>
      </c>
      <c r="E181" s="284" t="s">
        <v>236</v>
      </c>
      <c r="F181" s="284">
        <v>3622500017</v>
      </c>
      <c r="G181" s="284">
        <v>44821190</v>
      </c>
      <c r="H181" s="346" t="s">
        <v>435</v>
      </c>
      <c r="I181" s="284" t="s">
        <v>436</v>
      </c>
      <c r="J181" s="284">
        <v>1057</v>
      </c>
      <c r="K181" s="284">
        <v>304700004</v>
      </c>
      <c r="L181" s="348">
        <v>5500000</v>
      </c>
      <c r="M181" s="346" t="s">
        <v>437</v>
      </c>
    </row>
    <row r="182" spans="1:14" ht="64.5" hidden="1" x14ac:dyDescent="0.25">
      <c r="A182" s="346"/>
      <c r="B182" s="347">
        <v>45016</v>
      </c>
      <c r="C182" s="346" t="s">
        <v>422</v>
      </c>
      <c r="D182" s="284" t="s">
        <v>423</v>
      </c>
      <c r="E182" s="284" t="s">
        <v>236</v>
      </c>
      <c r="F182" s="284">
        <v>3622500016</v>
      </c>
      <c r="G182" s="284">
        <v>44821190</v>
      </c>
      <c r="H182" s="346" t="s">
        <v>438</v>
      </c>
      <c r="I182" s="284" t="s">
        <v>439</v>
      </c>
      <c r="J182" s="284">
        <v>451</v>
      </c>
      <c r="K182" s="284">
        <v>305758603</v>
      </c>
      <c r="L182" s="348">
        <v>5000000</v>
      </c>
      <c r="M182" s="346" t="s">
        <v>440</v>
      </c>
    </row>
    <row r="183" spans="1:14" ht="64.5" x14ac:dyDescent="0.25">
      <c r="A183" s="346"/>
      <c r="B183" s="347">
        <v>45016</v>
      </c>
      <c r="C183" s="346" t="s">
        <v>422</v>
      </c>
      <c r="D183" s="284" t="s">
        <v>423</v>
      </c>
      <c r="E183" s="284" t="s">
        <v>236</v>
      </c>
      <c r="F183" s="284">
        <v>3622500018</v>
      </c>
      <c r="G183" s="284">
        <v>44721900</v>
      </c>
      <c r="H183" s="346" t="s">
        <v>424</v>
      </c>
      <c r="I183" s="284" t="s">
        <v>425</v>
      </c>
      <c r="J183" s="284">
        <v>818</v>
      </c>
      <c r="K183" s="284">
        <v>206918594</v>
      </c>
      <c r="L183" s="349">
        <v>238800000</v>
      </c>
      <c r="M183" s="346" t="s">
        <v>441</v>
      </c>
    </row>
    <row r="184" spans="1:14" ht="77.25" hidden="1" x14ac:dyDescent="0.25">
      <c r="A184" s="346"/>
      <c r="B184" s="347">
        <v>45016</v>
      </c>
      <c r="C184" s="346" t="s">
        <v>422</v>
      </c>
      <c r="D184" s="284" t="s">
        <v>423</v>
      </c>
      <c r="E184" s="284" t="s">
        <v>236</v>
      </c>
      <c r="F184" s="284">
        <v>3622500019</v>
      </c>
      <c r="G184" s="284">
        <v>44821190</v>
      </c>
      <c r="H184" s="346" t="s">
        <v>442</v>
      </c>
      <c r="I184" s="284" t="s">
        <v>443</v>
      </c>
      <c r="J184" s="284">
        <v>440</v>
      </c>
      <c r="K184" s="284">
        <v>308146397</v>
      </c>
      <c r="L184" s="348">
        <v>1500000</v>
      </c>
      <c r="M184" s="346" t="s">
        <v>444</v>
      </c>
    </row>
    <row r="185" spans="1:14" ht="77.25" hidden="1" x14ac:dyDescent="0.25">
      <c r="A185" s="346"/>
      <c r="B185" s="347">
        <v>45016</v>
      </c>
      <c r="C185" s="346" t="s">
        <v>422</v>
      </c>
      <c r="D185" s="284" t="s">
        <v>423</v>
      </c>
      <c r="E185" s="284" t="s">
        <v>236</v>
      </c>
      <c r="F185" s="284">
        <v>3622500020</v>
      </c>
      <c r="G185" s="284">
        <v>44821190</v>
      </c>
      <c r="H185" s="346" t="s">
        <v>442</v>
      </c>
      <c r="I185" s="284" t="s">
        <v>443</v>
      </c>
      <c r="J185" s="284">
        <v>440</v>
      </c>
      <c r="K185" s="284">
        <v>308146397</v>
      </c>
      <c r="L185" s="348">
        <v>3500000</v>
      </c>
      <c r="M185" s="346" t="s">
        <v>445</v>
      </c>
    </row>
    <row r="186" spans="1:14" hidden="1" x14ac:dyDescent="0.25">
      <c r="A186" s="641" t="s">
        <v>446</v>
      </c>
      <c r="B186" s="642"/>
      <c r="C186" s="642"/>
      <c r="D186" s="642"/>
      <c r="E186" s="642"/>
      <c r="F186" s="642"/>
      <c r="G186" s="642"/>
      <c r="H186" s="642"/>
      <c r="I186" s="642"/>
      <c r="J186" s="642"/>
      <c r="K186" s="643"/>
      <c r="L186" s="348">
        <v>499640000</v>
      </c>
      <c r="M186" s="284"/>
    </row>
    <row r="187" spans="1:14" hidden="1" x14ac:dyDescent="0.25">
      <c r="A187" s="641" t="s">
        <v>447</v>
      </c>
      <c r="B187" s="642"/>
      <c r="C187" s="642"/>
      <c r="D187" s="642"/>
      <c r="E187" s="642"/>
      <c r="F187" s="642"/>
      <c r="G187" s="642"/>
      <c r="H187" s="642"/>
      <c r="I187" s="642"/>
      <c r="J187" s="642"/>
      <c r="K187" s="643"/>
      <c r="L187" s="348">
        <v>119937480946.5</v>
      </c>
      <c r="M187" s="284"/>
    </row>
    <row r="188" spans="1:14" x14ac:dyDescent="0.25">
      <c r="N188" s="350"/>
    </row>
    <row r="189" spans="1:14" x14ac:dyDescent="0.25">
      <c r="L189" s="350"/>
    </row>
  </sheetData>
  <autoFilter ref="A9:M187">
    <filterColumn colId="11">
      <colorFilter dxfId="0"/>
    </filterColumn>
  </autoFilter>
  <mergeCells count="38">
    <mergeCell ref="A5:L5"/>
    <mergeCell ref="A2:F2"/>
    <mergeCell ref="G2:M2"/>
    <mergeCell ref="A3:F3"/>
    <mergeCell ref="G3:M3"/>
    <mergeCell ref="A4:L4"/>
    <mergeCell ref="A52:K52"/>
    <mergeCell ref="A6:L6"/>
    <mergeCell ref="A7:L7"/>
    <mergeCell ref="A8:F8"/>
    <mergeCell ref="G8:I8"/>
    <mergeCell ref="J8:M8"/>
    <mergeCell ref="A10:K10"/>
    <mergeCell ref="A39:K39"/>
    <mergeCell ref="A40:K40"/>
    <mergeCell ref="A46:K46"/>
    <mergeCell ref="A47:K47"/>
    <mergeCell ref="A51:K51"/>
    <mergeCell ref="A147:K147"/>
    <mergeCell ref="A67:K67"/>
    <mergeCell ref="A68:K68"/>
    <mergeCell ref="A74:K74"/>
    <mergeCell ref="A75:K75"/>
    <mergeCell ref="A81:K81"/>
    <mergeCell ref="A82:K82"/>
    <mergeCell ref="A98:K98"/>
    <mergeCell ref="A99:K99"/>
    <mergeCell ref="A104:K104"/>
    <mergeCell ref="A105:K105"/>
    <mergeCell ref="A146:K146"/>
    <mergeCell ref="A186:K186"/>
    <mergeCell ref="A187:K187"/>
    <mergeCell ref="A160:K160"/>
    <mergeCell ref="A161:K161"/>
    <mergeCell ref="A165:K165"/>
    <mergeCell ref="A166:K166"/>
    <mergeCell ref="A172:K172"/>
    <mergeCell ref="A173:K17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view="pageBreakPreview" zoomScaleNormal="100" zoomScaleSheetLayoutView="100" workbookViewId="0">
      <selection activeCell="C5" sqref="C5:G5"/>
    </sheetView>
  </sheetViews>
  <sheetFormatPr defaultRowHeight="15" x14ac:dyDescent="0.25"/>
  <cols>
    <col min="1" max="1" width="4.42578125" bestFit="1" customWidth="1"/>
    <col min="2" max="2" width="28.7109375" bestFit="1" customWidth="1"/>
    <col min="3" max="3" width="11.5703125" bestFit="1" customWidth="1"/>
    <col min="4" max="4" width="16.85546875" bestFit="1" customWidth="1"/>
    <col min="5" max="5" width="16.85546875" customWidth="1"/>
    <col min="6" max="6" width="12.42578125" bestFit="1" customWidth="1"/>
    <col min="7" max="7" width="18.5703125" customWidth="1"/>
    <col min="8" max="8" width="11.5703125" bestFit="1" customWidth="1"/>
    <col min="9" max="9" width="16.85546875" bestFit="1" customWidth="1"/>
    <col min="10" max="10" width="16.85546875" customWidth="1"/>
    <col min="11" max="11" width="12.42578125" bestFit="1" customWidth="1"/>
    <col min="12" max="12" width="19.85546875" customWidth="1"/>
    <col min="13" max="13" width="15.5703125" customWidth="1"/>
    <col min="15" max="15" width="22.42578125" bestFit="1" customWidth="1"/>
    <col min="16" max="16" width="12.5703125" bestFit="1" customWidth="1"/>
    <col min="18" max="18" width="9.85546875" bestFit="1" customWidth="1"/>
  </cols>
  <sheetData>
    <row r="1" spans="1:16" ht="68.25" customHeight="1" x14ac:dyDescent="0.25">
      <c r="A1" s="658" t="s">
        <v>552</v>
      </c>
      <c r="B1" s="658"/>
      <c r="C1" s="658"/>
      <c r="D1" s="658"/>
      <c r="E1" s="658"/>
      <c r="F1" s="658"/>
      <c r="G1" s="658"/>
      <c r="H1" s="658"/>
      <c r="I1" s="658"/>
      <c r="J1" s="658"/>
      <c r="K1" s="658"/>
      <c r="L1" s="658"/>
    </row>
    <row r="2" spans="1:16" ht="23.25" customHeight="1" x14ac:dyDescent="0.25">
      <c r="A2" s="658" t="s">
        <v>19</v>
      </c>
      <c r="B2" s="658"/>
      <c r="C2" s="658"/>
      <c r="D2" s="658"/>
      <c r="E2" s="658"/>
      <c r="F2" s="658"/>
      <c r="G2" s="658"/>
      <c r="H2" s="658"/>
      <c r="I2" s="658"/>
      <c r="J2" s="658"/>
      <c r="K2" s="658"/>
      <c r="L2" s="658"/>
    </row>
    <row r="3" spans="1:16" ht="23.25" x14ac:dyDescent="0.25">
      <c r="A3" s="519"/>
      <c r="B3" s="519"/>
      <c r="C3" s="474"/>
      <c r="D3" s="474"/>
      <c r="E3" s="519"/>
      <c r="F3" s="519"/>
      <c r="G3" s="519"/>
      <c r="H3" s="519"/>
      <c r="I3" s="519"/>
      <c r="J3" s="519"/>
      <c r="K3" s="519"/>
      <c r="L3" s="519"/>
    </row>
    <row r="4" spans="1:16" ht="24" thickBot="1" x14ac:dyDescent="0.35">
      <c r="A4" s="519"/>
      <c r="B4" s="473" t="s">
        <v>563</v>
      </c>
      <c r="C4" s="660" t="s">
        <v>628</v>
      </c>
      <c r="D4" s="660"/>
      <c r="E4" s="660"/>
      <c r="F4" s="519"/>
      <c r="G4" s="519"/>
      <c r="H4" s="519"/>
      <c r="I4" s="519"/>
      <c r="J4" s="519"/>
      <c r="K4" s="661" t="s">
        <v>77</v>
      </c>
      <c r="L4" s="661"/>
    </row>
    <row r="5" spans="1:16" ht="18" customHeight="1" x14ac:dyDescent="0.25">
      <c r="A5" s="651" t="s">
        <v>138</v>
      </c>
      <c r="B5" s="653"/>
      <c r="C5" s="655" t="s">
        <v>140</v>
      </c>
      <c r="D5" s="656"/>
      <c r="E5" s="656"/>
      <c r="F5" s="656"/>
      <c r="G5" s="657"/>
      <c r="H5" s="655" t="s">
        <v>141</v>
      </c>
      <c r="I5" s="656"/>
      <c r="J5" s="656"/>
      <c r="K5" s="656"/>
      <c r="L5" s="657"/>
    </row>
    <row r="6" spans="1:16" ht="72.75" thickBot="1" x14ac:dyDescent="0.3">
      <c r="A6" s="652"/>
      <c r="B6" s="654"/>
      <c r="C6" s="517" t="s">
        <v>143</v>
      </c>
      <c r="D6" s="277" t="s">
        <v>144</v>
      </c>
      <c r="E6" s="277" t="s">
        <v>186</v>
      </c>
      <c r="F6" s="277" t="s">
        <v>145</v>
      </c>
      <c r="G6" s="518" t="s">
        <v>580</v>
      </c>
      <c r="H6" s="279" t="s">
        <v>143</v>
      </c>
      <c r="I6" s="277" t="s">
        <v>144</v>
      </c>
      <c r="J6" s="277" t="s">
        <v>186</v>
      </c>
      <c r="K6" s="277" t="s">
        <v>145</v>
      </c>
      <c r="L6" s="518" t="s">
        <v>580</v>
      </c>
    </row>
    <row r="7" spans="1:16" ht="19.5" customHeight="1" thickBot="1" x14ac:dyDescent="0.3">
      <c r="A7" s="647" t="s">
        <v>3</v>
      </c>
      <c r="B7" s="648"/>
      <c r="C7" s="270">
        <f>SUM(C9:C21)</f>
        <v>15731.925288083266</v>
      </c>
      <c r="D7" s="271">
        <f>SUM(D8:D21)</f>
        <v>17258.591799000002</v>
      </c>
      <c r="E7" s="271">
        <f>SUM(E8:E21)</f>
        <v>0.2</v>
      </c>
      <c r="F7" s="271">
        <f t="shared" ref="F7:L7" si="0">SUM(F9:F21)</f>
        <v>472.96050639523105</v>
      </c>
      <c r="G7" s="272">
        <f t="shared" si="0"/>
        <v>-280.44421948173101</v>
      </c>
      <c r="H7" s="273">
        <f t="shared" si="0"/>
        <v>15731.925288083266</v>
      </c>
      <c r="I7" s="271">
        <f t="shared" si="0"/>
        <v>15742.513799000002</v>
      </c>
      <c r="J7" s="271">
        <f t="shared" si="0"/>
        <v>0</v>
      </c>
      <c r="K7" s="271">
        <f t="shared" si="0"/>
        <v>10.567628291231244</v>
      </c>
      <c r="L7" s="272">
        <f t="shared" si="0"/>
        <v>-19.652506395231171</v>
      </c>
    </row>
    <row r="8" spans="1:16" ht="18.75" x14ac:dyDescent="0.25">
      <c r="A8" s="464"/>
      <c r="B8" s="467" t="s">
        <v>578</v>
      </c>
      <c r="C8" s="468"/>
      <c r="D8" s="465">
        <f>+D26+D61+D79</f>
        <v>1053.32</v>
      </c>
      <c r="E8" s="465">
        <f t="shared" ref="E8:L8" si="1">+E26</f>
        <v>0</v>
      </c>
      <c r="F8" s="465">
        <f t="shared" si="1"/>
        <v>0</v>
      </c>
      <c r="G8" s="465">
        <f t="shared" si="1"/>
        <v>0</v>
      </c>
      <c r="H8" s="465">
        <f t="shared" si="1"/>
        <v>0</v>
      </c>
      <c r="I8" s="465">
        <f t="shared" si="1"/>
        <v>0</v>
      </c>
      <c r="J8" s="465">
        <f t="shared" si="1"/>
        <v>0</v>
      </c>
      <c r="K8" s="465">
        <f t="shared" si="1"/>
        <v>0</v>
      </c>
      <c r="L8" s="465">
        <f t="shared" si="1"/>
        <v>0</v>
      </c>
      <c r="O8" s="282"/>
    </row>
    <row r="9" spans="1:16" ht="20.25" x14ac:dyDescent="0.25">
      <c r="A9" s="181">
        <v>1</v>
      </c>
      <c r="B9" s="182" t="s">
        <v>146</v>
      </c>
      <c r="C9" s="264">
        <f>+C27+C44+C62+C80</f>
        <v>1103.6726033693499</v>
      </c>
      <c r="D9" s="264">
        <f>+D27+D44+D62+D80</f>
        <v>1244.8</v>
      </c>
      <c r="E9" s="264">
        <f t="shared" ref="E9:E21" si="2">+E27+E44+E62</f>
        <v>0</v>
      </c>
      <c r="F9" s="278">
        <f>+F27+F44+F62+F80</f>
        <v>141.12746439565007</v>
      </c>
      <c r="G9" s="265">
        <f>+G27+G44+G62+G80</f>
        <v>-141.12746439565007</v>
      </c>
      <c r="H9" s="264">
        <f>+H27+H44+H62+H80</f>
        <v>1103.6726033693499</v>
      </c>
      <c r="I9" s="264">
        <f>+I27+I44+I62+I80</f>
        <v>1674.8</v>
      </c>
      <c r="J9" s="264">
        <f t="shared" ref="J9:J21" si="3">+J27+J44+J62</f>
        <v>0</v>
      </c>
      <c r="K9" s="278">
        <f t="shared" ref="K9:L21" si="4">+K27+K44+K62+K80</f>
        <v>571.12746439565012</v>
      </c>
      <c r="L9" s="265">
        <f t="shared" si="4"/>
        <v>-571.12746439565012</v>
      </c>
      <c r="O9" s="282"/>
    </row>
    <row r="10" spans="1:16" ht="20.25" x14ac:dyDescent="0.25">
      <c r="A10" s="184">
        <v>2</v>
      </c>
      <c r="B10" s="185" t="s">
        <v>147</v>
      </c>
      <c r="C10" s="264">
        <f t="shared" ref="C10:C21" si="5">+C28+C45+C63+C81</f>
        <v>1338.0644625224995</v>
      </c>
      <c r="D10" s="264">
        <f t="shared" ref="D10:D21" si="6">+D28+D45+D63+D81</f>
        <v>1357.7139999999999</v>
      </c>
      <c r="E10" s="264">
        <f t="shared" si="2"/>
        <v>0</v>
      </c>
      <c r="F10" s="278">
        <f t="shared" ref="F10:I21" si="7">+F28+F45+F63+F81</f>
        <v>19.649933500000401</v>
      </c>
      <c r="G10" s="265">
        <f t="shared" si="7"/>
        <v>-19.649933500000401</v>
      </c>
      <c r="H10" s="264">
        <f t="shared" si="7"/>
        <v>1338.0644625224995</v>
      </c>
      <c r="I10" s="264">
        <f t="shared" si="7"/>
        <v>1337.7139999999999</v>
      </c>
      <c r="J10" s="264">
        <f t="shared" si="3"/>
        <v>0</v>
      </c>
      <c r="K10" s="278">
        <f t="shared" si="4"/>
        <v>-0.35006649999968431</v>
      </c>
      <c r="L10" s="265">
        <f t="shared" si="4"/>
        <v>0.35006649999968431</v>
      </c>
      <c r="O10" s="282"/>
    </row>
    <row r="11" spans="1:16" ht="20.25" x14ac:dyDescent="0.25">
      <c r="A11" s="184">
        <v>3</v>
      </c>
      <c r="B11" s="185" t="s">
        <v>148</v>
      </c>
      <c r="C11" s="264">
        <f t="shared" si="5"/>
        <v>1431.031687789</v>
      </c>
      <c r="D11" s="264">
        <f t="shared" si="6"/>
        <v>1431.07</v>
      </c>
      <c r="E11" s="264">
        <f t="shared" si="2"/>
        <v>0</v>
      </c>
      <c r="F11" s="278">
        <f t="shared" si="7"/>
        <v>1.1725000000524233E-3</v>
      </c>
      <c r="G11" s="265">
        <f t="shared" si="7"/>
        <v>-1.1725000000524233E-3</v>
      </c>
      <c r="H11" s="264">
        <f t="shared" si="7"/>
        <v>1431.031687789</v>
      </c>
      <c r="I11" s="264">
        <f t="shared" si="7"/>
        <v>1431.07</v>
      </c>
      <c r="J11" s="264">
        <f t="shared" si="3"/>
        <v>0</v>
      </c>
      <c r="K11" s="278">
        <f t="shared" si="4"/>
        <v>1.1725000000524233E-3</v>
      </c>
      <c r="L11" s="265">
        <f t="shared" si="4"/>
        <v>-1.1725000000524233E-3</v>
      </c>
      <c r="O11" s="282"/>
    </row>
    <row r="12" spans="1:16" ht="20.25" x14ac:dyDescent="0.25">
      <c r="A12" s="184">
        <v>4</v>
      </c>
      <c r="B12" s="185" t="s">
        <v>149</v>
      </c>
      <c r="C12" s="264">
        <f t="shared" si="5"/>
        <v>1147.1347295906803</v>
      </c>
      <c r="D12" s="264">
        <f t="shared" si="6"/>
        <v>1179.7142155000001</v>
      </c>
      <c r="E12" s="264">
        <f t="shared" si="2"/>
        <v>0</v>
      </c>
      <c r="F12" s="278">
        <f t="shared" si="7"/>
        <v>32.568486916319841</v>
      </c>
      <c r="G12" s="265">
        <f t="shared" si="7"/>
        <v>-32.568486916319841</v>
      </c>
      <c r="H12" s="264">
        <f t="shared" si="7"/>
        <v>1147.1347295906803</v>
      </c>
      <c r="I12" s="264">
        <f t="shared" si="7"/>
        <v>1170.4442155000002</v>
      </c>
      <c r="J12" s="264">
        <f t="shared" si="3"/>
        <v>0</v>
      </c>
      <c r="K12" s="278">
        <f t="shared" si="4"/>
        <v>23.309485909319847</v>
      </c>
      <c r="L12" s="265">
        <f t="shared" si="4"/>
        <v>-32.598486916319814</v>
      </c>
      <c r="O12" s="282"/>
    </row>
    <row r="13" spans="1:16" ht="20.25" x14ac:dyDescent="0.25">
      <c r="A13" s="184">
        <v>5</v>
      </c>
      <c r="B13" s="185" t="s">
        <v>174</v>
      </c>
      <c r="C13" s="264">
        <f t="shared" si="5"/>
        <v>1587.8532678815</v>
      </c>
      <c r="D13" s="264">
        <f t="shared" si="6"/>
        <v>1362.7349999999999</v>
      </c>
      <c r="E13" s="264">
        <f t="shared" si="2"/>
        <v>0</v>
      </c>
      <c r="F13" s="278">
        <f t="shared" si="7"/>
        <v>-225.11826788149995</v>
      </c>
      <c r="G13" s="265">
        <f t="shared" si="7"/>
        <v>225.11826788149995</v>
      </c>
      <c r="H13" s="264">
        <f t="shared" si="7"/>
        <v>1587.8532678815</v>
      </c>
      <c r="I13" s="264">
        <f t="shared" si="7"/>
        <v>1300.952</v>
      </c>
      <c r="J13" s="264">
        <f t="shared" si="3"/>
        <v>0</v>
      </c>
      <c r="K13" s="278">
        <f t="shared" si="4"/>
        <v>-286.90126788149996</v>
      </c>
      <c r="L13" s="265">
        <f t="shared" si="4"/>
        <v>286.90126788149996</v>
      </c>
      <c r="O13" s="282"/>
    </row>
    <row r="14" spans="1:16" ht="20.25" x14ac:dyDescent="0.25">
      <c r="A14" s="184">
        <v>6</v>
      </c>
      <c r="B14" s="185" t="s">
        <v>151</v>
      </c>
      <c r="C14" s="264">
        <f t="shared" si="5"/>
        <v>1067.5259061474999</v>
      </c>
      <c r="D14" s="264">
        <f t="shared" si="6"/>
        <v>1068.1553745000001</v>
      </c>
      <c r="E14" s="264">
        <f t="shared" si="2"/>
        <v>0</v>
      </c>
      <c r="F14" s="278">
        <f t="shared" si="7"/>
        <v>0.19039300000022763</v>
      </c>
      <c r="G14" s="265">
        <f t="shared" si="7"/>
        <v>-0.19039300000022763</v>
      </c>
      <c r="H14" s="264">
        <f t="shared" si="7"/>
        <v>1067.5259061474999</v>
      </c>
      <c r="I14" s="264">
        <f t="shared" si="7"/>
        <v>1026.1553745000001</v>
      </c>
      <c r="J14" s="264">
        <f t="shared" si="3"/>
        <v>0</v>
      </c>
      <c r="K14" s="278">
        <f t="shared" si="4"/>
        <v>-41.370531647499746</v>
      </c>
      <c r="L14" s="265">
        <f t="shared" si="4"/>
        <v>41.809606999999772</v>
      </c>
      <c r="O14" s="282"/>
    </row>
    <row r="15" spans="1:16" ht="20.25" x14ac:dyDescent="0.25">
      <c r="A15" s="184">
        <v>7</v>
      </c>
      <c r="B15" s="185" t="s">
        <v>152</v>
      </c>
      <c r="C15" s="264">
        <f t="shared" si="5"/>
        <v>1218.6049469990003</v>
      </c>
      <c r="D15" s="264">
        <f t="shared" si="6"/>
        <v>1382.15</v>
      </c>
      <c r="E15" s="264">
        <f t="shared" si="2"/>
        <v>0</v>
      </c>
      <c r="F15" s="278">
        <f t="shared" si="7"/>
        <v>163.52316199999984</v>
      </c>
      <c r="G15" s="265">
        <f t="shared" si="7"/>
        <v>-163.52316199999984</v>
      </c>
      <c r="H15" s="264">
        <f t="shared" si="7"/>
        <v>1218.6049469990003</v>
      </c>
      <c r="I15" s="264">
        <f t="shared" si="7"/>
        <v>1108</v>
      </c>
      <c r="J15" s="264">
        <f t="shared" si="3"/>
        <v>0</v>
      </c>
      <c r="K15" s="278">
        <f t="shared" si="4"/>
        <v>-110.60494699900016</v>
      </c>
      <c r="L15" s="265">
        <f t="shared" si="4"/>
        <v>110.47683800000016</v>
      </c>
      <c r="O15" s="282"/>
      <c r="P15" s="282"/>
    </row>
    <row r="16" spans="1:16" ht="20.25" x14ac:dyDescent="0.25">
      <c r="A16" s="184">
        <v>8</v>
      </c>
      <c r="B16" s="185" t="s">
        <v>153</v>
      </c>
      <c r="C16" s="264">
        <f t="shared" si="5"/>
        <v>1058.0729342111397</v>
      </c>
      <c r="D16" s="264">
        <f t="shared" si="6"/>
        <v>1059.7</v>
      </c>
      <c r="E16" s="264">
        <f t="shared" si="2"/>
        <v>0</v>
      </c>
      <c r="F16" s="278">
        <f t="shared" si="7"/>
        <v>1.6270657888602216</v>
      </c>
      <c r="G16" s="265">
        <f t="shared" si="7"/>
        <v>-2.1097474108601943</v>
      </c>
      <c r="H16" s="264">
        <f t="shared" si="7"/>
        <v>1058.0729342111397</v>
      </c>
      <c r="I16" s="264">
        <f t="shared" si="7"/>
        <v>1092</v>
      </c>
      <c r="J16" s="264">
        <f t="shared" si="3"/>
        <v>0</v>
      </c>
      <c r="K16" s="278">
        <f t="shared" si="4"/>
        <v>33.927065788860233</v>
      </c>
      <c r="L16" s="265">
        <f t="shared" si="4"/>
        <v>-33.927065788860233</v>
      </c>
      <c r="O16" s="282"/>
    </row>
    <row r="17" spans="1:18" ht="20.25" x14ac:dyDescent="0.25">
      <c r="A17" s="184">
        <v>9</v>
      </c>
      <c r="B17" s="185" t="s">
        <v>154</v>
      </c>
      <c r="C17" s="264">
        <f t="shared" si="5"/>
        <v>1108.3831267159499</v>
      </c>
      <c r="D17" s="264">
        <f t="shared" si="6"/>
        <v>1169.993209</v>
      </c>
      <c r="E17" s="264">
        <f t="shared" si="2"/>
        <v>0</v>
      </c>
      <c r="F17" s="278">
        <f t="shared" si="7"/>
        <v>61.719522893050168</v>
      </c>
      <c r="G17" s="265">
        <f t="shared" si="7"/>
        <v>-61.719522893050168</v>
      </c>
      <c r="H17" s="264">
        <f t="shared" si="7"/>
        <v>1108.3831267159499</v>
      </c>
      <c r="I17" s="264">
        <f t="shared" si="7"/>
        <v>1203.193209</v>
      </c>
      <c r="J17" s="264">
        <f t="shared" si="3"/>
        <v>0</v>
      </c>
      <c r="K17" s="278">
        <f t="shared" si="4"/>
        <v>94.810082284050225</v>
      </c>
      <c r="L17" s="265">
        <f t="shared" si="4"/>
        <v>-94.919522893050214</v>
      </c>
      <c r="O17" s="282"/>
    </row>
    <row r="18" spans="1:18" ht="20.25" x14ac:dyDescent="0.25">
      <c r="A18" s="184">
        <v>10</v>
      </c>
      <c r="B18" s="185" t="s">
        <v>15</v>
      </c>
      <c r="C18" s="264">
        <f t="shared" si="5"/>
        <v>1007.8970659645001</v>
      </c>
      <c r="D18" s="264">
        <f t="shared" si="6"/>
        <v>1250.7599999999998</v>
      </c>
      <c r="E18" s="264">
        <f t="shared" si="2"/>
        <v>0</v>
      </c>
      <c r="F18" s="278">
        <f t="shared" si="7"/>
        <v>242.86293403549971</v>
      </c>
      <c r="G18" s="265">
        <f t="shared" si="7"/>
        <v>-49.863965499999694</v>
      </c>
      <c r="H18" s="264">
        <f t="shared" si="7"/>
        <v>1007.8970659645001</v>
      </c>
      <c r="I18" s="264">
        <f t="shared" si="7"/>
        <v>700.30500000000006</v>
      </c>
      <c r="J18" s="264">
        <f t="shared" si="3"/>
        <v>0</v>
      </c>
      <c r="K18" s="278">
        <f t="shared" si="4"/>
        <v>-307.59206596450008</v>
      </c>
      <c r="L18" s="265">
        <f t="shared" si="4"/>
        <v>307.59206596450008</v>
      </c>
      <c r="O18" s="282"/>
    </row>
    <row r="19" spans="1:18" ht="20.25" x14ac:dyDescent="0.25">
      <c r="A19" s="184">
        <v>11</v>
      </c>
      <c r="B19" s="185" t="s">
        <v>155</v>
      </c>
      <c r="C19" s="264">
        <f t="shared" si="5"/>
        <v>1278.3121207932006</v>
      </c>
      <c r="D19" s="264">
        <f t="shared" si="6"/>
        <v>1312.55</v>
      </c>
      <c r="E19" s="264">
        <f t="shared" si="2"/>
        <v>0</v>
      </c>
      <c r="F19" s="278">
        <f t="shared" si="7"/>
        <v>34.235282048299354</v>
      </c>
      <c r="G19" s="265">
        <f t="shared" si="7"/>
        <v>-34.235282048299354</v>
      </c>
      <c r="H19" s="264">
        <f t="shared" si="7"/>
        <v>1278.3121207932006</v>
      </c>
      <c r="I19" s="264">
        <f t="shared" si="7"/>
        <v>1312.15</v>
      </c>
      <c r="J19" s="264">
        <f t="shared" si="3"/>
        <v>0</v>
      </c>
      <c r="K19" s="278">
        <f t="shared" si="4"/>
        <v>33.837879206799272</v>
      </c>
      <c r="L19" s="265">
        <f t="shared" si="4"/>
        <v>-33.83528204829932</v>
      </c>
      <c r="O19" s="282"/>
    </row>
    <row r="20" spans="1:18" ht="20.25" x14ac:dyDescent="0.25">
      <c r="A20" s="184">
        <v>12</v>
      </c>
      <c r="B20" s="185" t="s">
        <v>156</v>
      </c>
      <c r="C20" s="264">
        <f t="shared" si="5"/>
        <v>1188.6289196159494</v>
      </c>
      <c r="D20" s="264">
        <f t="shared" si="6"/>
        <v>1188.6000000000001</v>
      </c>
      <c r="E20" s="264">
        <f t="shared" si="2"/>
        <v>0.2</v>
      </c>
      <c r="F20" s="278">
        <f t="shared" si="7"/>
        <v>-1.1026300949367851E-2</v>
      </c>
      <c r="G20" s="265">
        <f t="shared" si="7"/>
        <v>1.1026300949367851E-2</v>
      </c>
      <c r="H20" s="264">
        <f t="shared" si="7"/>
        <v>1188.6289196159494</v>
      </c>
      <c r="I20" s="264">
        <f t="shared" si="7"/>
        <v>1188.4000000000001</v>
      </c>
      <c r="J20" s="264">
        <f t="shared" si="3"/>
        <v>0</v>
      </c>
      <c r="K20" s="278">
        <f t="shared" si="4"/>
        <v>-0.21102630094935648</v>
      </c>
      <c r="L20" s="265">
        <f t="shared" si="4"/>
        <v>0.21102630094935648</v>
      </c>
      <c r="O20" s="282"/>
    </row>
    <row r="21" spans="1:18" ht="21" thickBot="1" x14ac:dyDescent="0.3">
      <c r="A21" s="186">
        <v>13</v>
      </c>
      <c r="B21" s="187" t="s">
        <v>18</v>
      </c>
      <c r="C21" s="264">
        <f t="shared" si="5"/>
        <v>1196.7435164829999</v>
      </c>
      <c r="D21" s="264">
        <f t="shared" si="6"/>
        <v>1197.33</v>
      </c>
      <c r="E21" s="268">
        <f t="shared" si="2"/>
        <v>0</v>
      </c>
      <c r="F21" s="278">
        <f t="shared" si="7"/>
        <v>0.5843835000004276</v>
      </c>
      <c r="G21" s="265">
        <f t="shared" si="7"/>
        <v>-0.5843835000004276</v>
      </c>
      <c r="H21" s="264">
        <f t="shared" si="7"/>
        <v>1196.7435164829999</v>
      </c>
      <c r="I21" s="264">
        <f t="shared" si="7"/>
        <v>1197.33</v>
      </c>
      <c r="J21" s="264">
        <f t="shared" si="3"/>
        <v>0</v>
      </c>
      <c r="K21" s="278">
        <f t="shared" si="4"/>
        <v>0.58438350000048445</v>
      </c>
      <c r="L21" s="265">
        <f t="shared" si="4"/>
        <v>-0.58438350000048445</v>
      </c>
      <c r="O21" s="282"/>
    </row>
    <row r="22" spans="1:18" ht="19.5" thickBot="1" x14ac:dyDescent="0.35">
      <c r="A22" s="659" t="s">
        <v>554</v>
      </c>
      <c r="B22" s="659"/>
      <c r="C22" s="659"/>
      <c r="D22" s="659"/>
      <c r="E22" s="659"/>
      <c r="F22" s="659"/>
      <c r="G22" s="176"/>
      <c r="H22" s="176"/>
      <c r="I22" s="176"/>
      <c r="J22" s="176"/>
      <c r="K22" s="650" t="s">
        <v>77</v>
      </c>
      <c r="L22" s="650"/>
    </row>
    <row r="23" spans="1:18" ht="27.75" customHeight="1" x14ac:dyDescent="0.25">
      <c r="A23" s="651" t="s">
        <v>138</v>
      </c>
      <c r="B23" s="653" t="s">
        <v>139</v>
      </c>
      <c r="C23" s="655" t="s">
        <v>140</v>
      </c>
      <c r="D23" s="656"/>
      <c r="E23" s="656"/>
      <c r="F23" s="656"/>
      <c r="G23" s="657"/>
      <c r="H23" s="655" t="s">
        <v>141</v>
      </c>
      <c r="I23" s="656"/>
      <c r="J23" s="656"/>
      <c r="K23" s="656"/>
      <c r="L23" s="657"/>
    </row>
    <row r="24" spans="1:18" ht="77.25" customHeight="1" thickBot="1" x14ac:dyDescent="0.3">
      <c r="A24" s="652"/>
      <c r="B24" s="654"/>
      <c r="C24" s="517" t="s">
        <v>143</v>
      </c>
      <c r="D24" s="277" t="s">
        <v>144</v>
      </c>
      <c r="E24" s="277" t="s">
        <v>186</v>
      </c>
      <c r="F24" s="277" t="s">
        <v>145</v>
      </c>
      <c r="G24" s="518" t="s">
        <v>580</v>
      </c>
      <c r="H24" s="279" t="s">
        <v>143</v>
      </c>
      <c r="I24" s="277" t="s">
        <v>144</v>
      </c>
      <c r="J24" s="277" t="s">
        <v>186</v>
      </c>
      <c r="K24" s="277" t="s">
        <v>145</v>
      </c>
      <c r="L24" s="518" t="s">
        <v>580</v>
      </c>
    </row>
    <row r="25" spans="1:18" ht="30" customHeight="1" thickBot="1" x14ac:dyDescent="0.3">
      <c r="A25" s="647" t="s">
        <v>3</v>
      </c>
      <c r="B25" s="648"/>
      <c r="C25" s="270">
        <f>SUM(C27:C39)</f>
        <v>6132.9217614465006</v>
      </c>
      <c r="D25" s="271">
        <f>SUM(D26:D39)</f>
        <v>6660.0820000000003</v>
      </c>
      <c r="E25" s="271">
        <f>SUM(E26:E39)</f>
        <v>0</v>
      </c>
      <c r="F25" s="271">
        <f t="shared" ref="F25:L25" si="8">SUM(F27:F39)</f>
        <v>-132.54576596799996</v>
      </c>
      <c r="G25" s="272">
        <f t="shared" si="8"/>
        <v>325.06205288149999</v>
      </c>
      <c r="H25" s="273">
        <f t="shared" si="8"/>
        <v>6132.9217614465006</v>
      </c>
      <c r="I25" s="271">
        <f t="shared" si="8"/>
        <v>5113.8739999999998</v>
      </c>
      <c r="J25" s="271">
        <f t="shared" si="8"/>
        <v>0</v>
      </c>
      <c r="K25" s="271">
        <f t="shared" si="8"/>
        <v>-1019.068644072</v>
      </c>
      <c r="L25" s="272">
        <f t="shared" si="8"/>
        <v>1009.9837659679999</v>
      </c>
      <c r="O25" s="282"/>
    </row>
    <row r="26" spans="1:18" ht="30" customHeight="1" x14ac:dyDescent="0.25">
      <c r="A26" s="464"/>
      <c r="B26" s="467" t="s">
        <v>578</v>
      </c>
      <c r="C26" s="468"/>
      <c r="D26" s="465">
        <v>659.31999999999994</v>
      </c>
      <c r="E26" s="465"/>
      <c r="F26" s="465"/>
      <c r="G26" s="469"/>
      <c r="H26" s="468"/>
      <c r="I26" s="465"/>
      <c r="J26" s="465"/>
      <c r="K26" s="465"/>
      <c r="L26" s="466"/>
      <c r="O26" s="282"/>
    </row>
    <row r="27" spans="1:18" ht="21.75" customHeight="1" x14ac:dyDescent="0.25">
      <c r="A27" s="181">
        <v>1</v>
      </c>
      <c r="B27" s="182" t="s">
        <v>146</v>
      </c>
      <c r="C27" s="263">
        <v>477.80006776499999</v>
      </c>
      <c r="D27" s="264">
        <v>477.8</v>
      </c>
      <c r="E27" s="264"/>
      <c r="F27" s="278"/>
      <c r="G27" s="265">
        <f>+F27*(-1)</f>
        <v>0</v>
      </c>
      <c r="H27" s="280">
        <v>477.80006776499999</v>
      </c>
      <c r="I27" s="264">
        <v>477.8</v>
      </c>
      <c r="J27" s="264"/>
      <c r="K27" s="278"/>
      <c r="L27" s="265"/>
      <c r="N27" s="454"/>
      <c r="O27" s="262"/>
      <c r="P27" s="183"/>
      <c r="Q27" s="183"/>
      <c r="R27" s="183"/>
    </row>
    <row r="28" spans="1:18" ht="21.75" customHeight="1" x14ac:dyDescent="0.25">
      <c r="A28" s="184">
        <v>2</v>
      </c>
      <c r="B28" s="185" t="s">
        <v>147</v>
      </c>
      <c r="C28" s="223">
        <v>455.47239602249999</v>
      </c>
      <c r="D28" s="197">
        <v>455.47199999999998</v>
      </c>
      <c r="E28" s="197"/>
      <c r="F28" s="275"/>
      <c r="G28" s="266"/>
      <c r="H28" s="196">
        <v>455.47239602249999</v>
      </c>
      <c r="I28" s="197">
        <v>455.47199999999998</v>
      </c>
      <c r="J28" s="197"/>
      <c r="K28" s="275"/>
      <c r="L28" s="266"/>
      <c r="N28" s="454"/>
      <c r="O28" s="262"/>
      <c r="P28" s="183"/>
      <c r="Q28" s="183"/>
      <c r="R28" s="183"/>
    </row>
    <row r="29" spans="1:18" ht="21.75" customHeight="1" x14ac:dyDescent="0.25">
      <c r="A29" s="184">
        <v>3</v>
      </c>
      <c r="B29" s="185" t="s">
        <v>148</v>
      </c>
      <c r="C29" s="223">
        <v>583.66286028900004</v>
      </c>
      <c r="D29" s="197">
        <v>583.70000000000005</v>
      </c>
      <c r="E29" s="197"/>
      <c r="F29" s="275"/>
      <c r="G29" s="266"/>
      <c r="H29" s="196">
        <v>583.66286028900004</v>
      </c>
      <c r="I29" s="197">
        <v>583.70000000000005</v>
      </c>
      <c r="J29" s="197"/>
      <c r="K29" s="275"/>
      <c r="L29" s="266"/>
      <c r="N29" s="454"/>
      <c r="O29" s="262"/>
      <c r="P29" s="183"/>
      <c r="Q29" s="183"/>
      <c r="R29" s="183"/>
    </row>
    <row r="30" spans="1:18" ht="21.75" customHeight="1" x14ac:dyDescent="0.25">
      <c r="A30" s="184">
        <v>4</v>
      </c>
      <c r="B30" s="185" t="s">
        <v>149</v>
      </c>
      <c r="C30" s="223">
        <v>472.78900100699997</v>
      </c>
      <c r="D30" s="197">
        <v>472.8</v>
      </c>
      <c r="E30" s="197"/>
      <c r="F30" s="275"/>
      <c r="G30" s="266"/>
      <c r="H30" s="196">
        <v>472.78900100699997</v>
      </c>
      <c r="I30" s="197">
        <v>463.5</v>
      </c>
      <c r="J30" s="197"/>
      <c r="K30" s="275">
        <f t="shared" ref="K30:K37" si="9">+I30-H30</f>
        <v>-9.2890010069999676</v>
      </c>
      <c r="L30" s="266"/>
      <c r="N30" s="454"/>
      <c r="O30" s="262"/>
      <c r="P30" s="183"/>
      <c r="Q30" s="183"/>
      <c r="R30" s="183"/>
    </row>
    <row r="31" spans="1:18" ht="21.75" customHeight="1" x14ac:dyDescent="0.25">
      <c r="A31" s="184">
        <v>5</v>
      </c>
      <c r="B31" s="185" t="s">
        <v>174</v>
      </c>
      <c r="C31" s="223">
        <v>437.79705288150001</v>
      </c>
      <c r="D31" s="197">
        <v>212.73500000000001</v>
      </c>
      <c r="E31" s="197"/>
      <c r="F31" s="275">
        <f t="shared" ref="F31:F36" si="10">+D31-C31</f>
        <v>-225.06205288149999</v>
      </c>
      <c r="G31" s="266">
        <v>225.06205288149999</v>
      </c>
      <c r="H31" s="196">
        <v>437.79705288150001</v>
      </c>
      <c r="I31" s="197">
        <v>150.952</v>
      </c>
      <c r="J31" s="197"/>
      <c r="K31" s="275">
        <f t="shared" si="9"/>
        <v>-286.84505288150001</v>
      </c>
      <c r="L31" s="266">
        <v>286.84505288150001</v>
      </c>
      <c r="N31" s="454"/>
      <c r="O31" s="262"/>
      <c r="P31" s="183"/>
      <c r="Q31" s="183"/>
      <c r="R31" s="183"/>
    </row>
    <row r="32" spans="1:18" ht="21.75" customHeight="1" x14ac:dyDescent="0.25">
      <c r="A32" s="184">
        <v>6</v>
      </c>
      <c r="B32" s="185" t="s">
        <v>151</v>
      </c>
      <c r="C32" s="223">
        <v>495.56092464749997</v>
      </c>
      <c r="D32" s="197">
        <v>496</v>
      </c>
      <c r="E32" s="197"/>
      <c r="F32" s="275"/>
      <c r="G32" s="266"/>
      <c r="H32" s="196">
        <v>495.56092464749997</v>
      </c>
      <c r="I32" s="197">
        <v>496</v>
      </c>
      <c r="J32" s="197"/>
      <c r="K32" s="275">
        <f t="shared" si="9"/>
        <v>0.43907535250002638</v>
      </c>
      <c r="L32" s="266"/>
      <c r="N32" s="454"/>
      <c r="O32" s="262"/>
      <c r="P32" s="183"/>
      <c r="Q32" s="183"/>
      <c r="R32" s="183"/>
    </row>
    <row r="33" spans="1:18" ht="21.75" customHeight="1" x14ac:dyDescent="0.25">
      <c r="A33" s="184">
        <v>7</v>
      </c>
      <c r="B33" s="185" t="s">
        <v>152</v>
      </c>
      <c r="C33" s="223">
        <v>574.12810899900001</v>
      </c>
      <c r="D33" s="197">
        <v>574.15</v>
      </c>
      <c r="E33" s="197"/>
      <c r="F33" s="275"/>
      <c r="G33" s="266"/>
      <c r="H33" s="196">
        <v>574.12810899900001</v>
      </c>
      <c r="I33" s="197">
        <v>300</v>
      </c>
      <c r="J33" s="197"/>
      <c r="K33" s="275">
        <f t="shared" si="9"/>
        <v>-274.12810899900001</v>
      </c>
      <c r="L33" s="266">
        <v>274</v>
      </c>
      <c r="N33" s="454"/>
      <c r="O33" s="262"/>
      <c r="P33" s="183"/>
      <c r="Q33" s="183"/>
      <c r="R33" s="183"/>
    </row>
    <row r="34" spans="1:18" ht="21.75" customHeight="1" x14ac:dyDescent="0.25">
      <c r="A34" s="184">
        <v>8</v>
      </c>
      <c r="B34" s="185" t="s">
        <v>153</v>
      </c>
      <c r="C34" s="223">
        <v>441.48268162199997</v>
      </c>
      <c r="D34" s="197">
        <v>341</v>
      </c>
      <c r="E34" s="197"/>
      <c r="F34" s="275">
        <f t="shared" si="10"/>
        <v>-100.48268162199997</v>
      </c>
      <c r="G34" s="266">
        <v>100</v>
      </c>
      <c r="H34" s="196">
        <v>441.48268162199997</v>
      </c>
      <c r="I34" s="197">
        <v>300</v>
      </c>
      <c r="J34" s="197"/>
      <c r="K34" s="275">
        <f t="shared" si="9"/>
        <v>-141.48268162199997</v>
      </c>
      <c r="L34" s="266">
        <v>141.48268162199997</v>
      </c>
      <c r="N34" s="454"/>
      <c r="O34" s="262"/>
      <c r="P34" s="283"/>
      <c r="Q34" s="183"/>
      <c r="R34" s="183"/>
    </row>
    <row r="35" spans="1:18" ht="21.75" customHeight="1" x14ac:dyDescent="0.25">
      <c r="A35" s="184">
        <v>9</v>
      </c>
      <c r="B35" s="185" t="s">
        <v>154</v>
      </c>
      <c r="C35" s="223">
        <v>466.30944060899998</v>
      </c>
      <c r="D35" s="197">
        <v>466.2</v>
      </c>
      <c r="E35" s="197"/>
      <c r="F35" s="275"/>
      <c r="G35" s="266"/>
      <c r="H35" s="196">
        <v>466.30944060899998</v>
      </c>
      <c r="I35" s="197">
        <v>466.2</v>
      </c>
      <c r="J35" s="197"/>
      <c r="K35" s="275">
        <f>+I35-H35+J35</f>
        <v>-0.10944060899998931</v>
      </c>
      <c r="L35" s="266"/>
      <c r="N35" s="454"/>
      <c r="O35" s="262"/>
      <c r="P35" s="183"/>
      <c r="Q35" s="183"/>
      <c r="R35" s="183"/>
    </row>
    <row r="36" spans="1:18" ht="21.75" customHeight="1" x14ac:dyDescent="0.25">
      <c r="A36" s="184">
        <v>10</v>
      </c>
      <c r="B36" s="185" t="s">
        <v>15</v>
      </c>
      <c r="C36" s="223">
        <v>407.65603146449996</v>
      </c>
      <c r="D36" s="197">
        <v>600.65499999999997</v>
      </c>
      <c r="E36" s="197"/>
      <c r="F36" s="275">
        <f t="shared" si="10"/>
        <v>192.99896853550001</v>
      </c>
      <c r="G36" s="266"/>
      <c r="H36" s="196">
        <v>407.65603146449996</v>
      </c>
      <c r="I36" s="197">
        <v>100</v>
      </c>
      <c r="J36" s="197"/>
      <c r="K36" s="275">
        <f t="shared" si="9"/>
        <v>-307.65603146449996</v>
      </c>
      <c r="L36" s="266">
        <v>307.65603146449996</v>
      </c>
      <c r="N36" s="454"/>
      <c r="O36" s="262"/>
      <c r="P36" s="183"/>
      <c r="Q36" s="183"/>
      <c r="R36" s="183"/>
    </row>
    <row r="37" spans="1:18" ht="21.75" customHeight="1" x14ac:dyDescent="0.25">
      <c r="A37" s="184">
        <v>11</v>
      </c>
      <c r="B37" s="185" t="s">
        <v>155</v>
      </c>
      <c r="C37" s="223">
        <v>458.24740284150005</v>
      </c>
      <c r="D37" s="197">
        <v>458.25</v>
      </c>
      <c r="E37" s="197"/>
      <c r="F37" s="275"/>
      <c r="G37" s="266"/>
      <c r="H37" s="196">
        <v>458.24740284150005</v>
      </c>
      <c r="I37" s="197">
        <v>458.25</v>
      </c>
      <c r="J37" s="197"/>
      <c r="K37" s="275">
        <f t="shared" si="9"/>
        <v>2.5971584999524566E-3</v>
      </c>
      <c r="L37" s="266"/>
      <c r="N37" s="454"/>
      <c r="O37" s="262"/>
      <c r="P37" s="183"/>
      <c r="Q37" s="183"/>
      <c r="R37" s="183"/>
    </row>
    <row r="38" spans="1:18" ht="21.75" customHeight="1" x14ac:dyDescent="0.25">
      <c r="A38" s="184">
        <v>12</v>
      </c>
      <c r="B38" s="185" t="s">
        <v>156</v>
      </c>
      <c r="C38" s="223">
        <v>416.31789331499999</v>
      </c>
      <c r="D38" s="197">
        <v>416.3</v>
      </c>
      <c r="E38" s="197"/>
      <c r="F38" s="275"/>
      <c r="G38" s="266"/>
      <c r="H38" s="196">
        <v>416.31789331499999</v>
      </c>
      <c r="I38" s="197">
        <v>416.3</v>
      </c>
      <c r="J38" s="197"/>
      <c r="K38" s="275"/>
      <c r="L38" s="266"/>
      <c r="N38" s="454"/>
      <c r="O38" s="262"/>
      <c r="P38" s="183"/>
      <c r="Q38" s="183"/>
      <c r="R38" s="183"/>
    </row>
    <row r="39" spans="1:18" ht="21.75" customHeight="1" thickBot="1" x14ac:dyDescent="0.3">
      <c r="A39" s="186">
        <v>13</v>
      </c>
      <c r="B39" s="187" t="s">
        <v>18</v>
      </c>
      <c r="C39" s="267">
        <v>445.69789998300013</v>
      </c>
      <c r="D39" s="268">
        <v>445.7</v>
      </c>
      <c r="E39" s="268"/>
      <c r="F39" s="276"/>
      <c r="G39" s="269"/>
      <c r="H39" s="281">
        <v>445.69789998300013</v>
      </c>
      <c r="I39" s="268">
        <v>445.7</v>
      </c>
      <c r="J39" s="268"/>
      <c r="K39" s="276"/>
      <c r="L39" s="269"/>
      <c r="N39" s="454"/>
      <c r="O39" s="262"/>
      <c r="P39" s="183"/>
      <c r="Q39" s="183"/>
      <c r="R39" s="183"/>
    </row>
    <row r="40" spans="1:18" ht="23.25" customHeight="1" thickBot="1" x14ac:dyDescent="0.35">
      <c r="B40" s="481" t="s">
        <v>553</v>
      </c>
      <c r="C40" s="482"/>
      <c r="D40" s="649"/>
      <c r="E40" s="649"/>
      <c r="K40" s="650" t="s">
        <v>77</v>
      </c>
      <c r="L40" s="650"/>
      <c r="N40" s="453"/>
      <c r="O40" s="455"/>
    </row>
    <row r="41" spans="1:18" ht="30" customHeight="1" x14ac:dyDescent="0.25">
      <c r="A41" s="651" t="s">
        <v>138</v>
      </c>
      <c r="B41" s="653" t="s">
        <v>139</v>
      </c>
      <c r="C41" s="655" t="s">
        <v>140</v>
      </c>
      <c r="D41" s="656"/>
      <c r="E41" s="656"/>
      <c r="F41" s="656"/>
      <c r="G41" s="657"/>
      <c r="H41" s="655" t="s">
        <v>141</v>
      </c>
      <c r="I41" s="656"/>
      <c r="J41" s="656"/>
      <c r="K41" s="656"/>
      <c r="L41" s="657"/>
    </row>
    <row r="42" spans="1:18" ht="94.5" customHeight="1" thickBot="1" x14ac:dyDescent="0.3">
      <c r="A42" s="652"/>
      <c r="B42" s="654"/>
      <c r="C42" s="517" t="s">
        <v>143</v>
      </c>
      <c r="D42" s="277" t="s">
        <v>144</v>
      </c>
      <c r="E42" s="277" t="s">
        <v>186</v>
      </c>
      <c r="F42" s="277" t="s">
        <v>145</v>
      </c>
      <c r="G42" s="518" t="s">
        <v>580</v>
      </c>
      <c r="H42" s="279" t="s">
        <v>143</v>
      </c>
      <c r="I42" s="277" t="s">
        <v>144</v>
      </c>
      <c r="J42" s="277" t="s">
        <v>186</v>
      </c>
      <c r="K42" s="277" t="s">
        <v>145</v>
      </c>
      <c r="L42" s="518" t="s">
        <v>580</v>
      </c>
    </row>
    <row r="43" spans="1:18" ht="30" customHeight="1" thickBot="1" x14ac:dyDescent="0.3">
      <c r="A43" s="647" t="s">
        <v>3</v>
      </c>
      <c r="B43" s="648"/>
      <c r="C43" s="270">
        <f>SUM(C44:C56)</f>
        <v>3136.7829626367688</v>
      </c>
      <c r="D43" s="271">
        <f t="shared" ref="D43:L43" si="11">SUM(D44:D56)</f>
        <v>3734.85</v>
      </c>
      <c r="E43" s="271">
        <f t="shared" si="11"/>
        <v>0.2</v>
      </c>
      <c r="F43" s="271">
        <f t="shared" si="11"/>
        <v>598.06703736323084</v>
      </c>
      <c r="G43" s="272">
        <f t="shared" si="11"/>
        <v>-598.06703736323084</v>
      </c>
      <c r="H43" s="273">
        <f t="shared" si="11"/>
        <v>3136.7829626367688</v>
      </c>
      <c r="I43" s="271">
        <f t="shared" si="11"/>
        <v>3619.1499999999996</v>
      </c>
      <c r="J43" s="271">
        <f t="shared" si="11"/>
        <v>0</v>
      </c>
      <c r="K43" s="271">
        <f t="shared" si="11"/>
        <v>482.36703736323091</v>
      </c>
      <c r="L43" s="272">
        <f t="shared" si="11"/>
        <v>-482.36703736323091</v>
      </c>
    </row>
    <row r="44" spans="1:18" ht="20.25" x14ac:dyDescent="0.25">
      <c r="A44" s="181">
        <v>1</v>
      </c>
      <c r="B44" s="182" t="s">
        <v>146</v>
      </c>
      <c r="C44" s="263">
        <v>111.43338910435024</v>
      </c>
      <c r="D44" s="264">
        <v>249.99999999999994</v>
      </c>
      <c r="E44" s="264">
        <v>0</v>
      </c>
      <c r="F44" s="278">
        <f t="shared" ref="F44:F56" si="12">+D44-C44</f>
        <v>138.56661089564972</v>
      </c>
      <c r="G44" s="265">
        <f>+F44*(-1)</f>
        <v>-138.56661089564972</v>
      </c>
      <c r="H44" s="280">
        <v>111.43338910435024</v>
      </c>
      <c r="I44" s="264">
        <v>249.99999999999994</v>
      </c>
      <c r="J44" s="264">
        <v>0</v>
      </c>
      <c r="K44" s="278">
        <f t="shared" ref="K44:K56" si="13">+I44-H44</f>
        <v>138.56661089564972</v>
      </c>
      <c r="L44" s="265">
        <f>+K44*(-1)</f>
        <v>-138.56661089564972</v>
      </c>
    </row>
    <row r="45" spans="1:18" ht="20.25" x14ac:dyDescent="0.25">
      <c r="A45" s="184">
        <v>2</v>
      </c>
      <c r="B45" s="185" t="s">
        <v>147</v>
      </c>
      <c r="C45" s="223">
        <v>245.31801149999978</v>
      </c>
      <c r="D45" s="197">
        <v>265</v>
      </c>
      <c r="E45" s="197">
        <v>0</v>
      </c>
      <c r="F45" s="275">
        <f t="shared" si="12"/>
        <v>19.681988500000216</v>
      </c>
      <c r="G45" s="266">
        <f t="shared" ref="G45:G56" si="14">+F45*(-1)</f>
        <v>-19.681988500000216</v>
      </c>
      <c r="H45" s="196">
        <v>245.31801149999978</v>
      </c>
      <c r="I45" s="197">
        <v>245</v>
      </c>
      <c r="J45" s="197">
        <v>0</v>
      </c>
      <c r="K45" s="275">
        <f t="shared" si="13"/>
        <v>-0.31801149999978406</v>
      </c>
      <c r="L45" s="266">
        <f t="shared" ref="L45:L56" si="15">+K45*(-1)</f>
        <v>0.31801149999978406</v>
      </c>
    </row>
    <row r="46" spans="1:18" ht="20.25" x14ac:dyDescent="0.25">
      <c r="A46" s="184">
        <v>3</v>
      </c>
      <c r="B46" s="185" t="s">
        <v>148</v>
      </c>
      <c r="C46" s="223">
        <v>177.61991549999988</v>
      </c>
      <c r="D46" s="197">
        <v>177.62</v>
      </c>
      <c r="E46" s="197">
        <v>0</v>
      </c>
      <c r="F46" s="275">
        <f t="shared" si="12"/>
        <v>8.4500000127718522E-5</v>
      </c>
      <c r="G46" s="266">
        <f t="shared" si="14"/>
        <v>-8.4500000127718522E-5</v>
      </c>
      <c r="H46" s="196">
        <v>177.61991549999988</v>
      </c>
      <c r="I46" s="197">
        <v>177.62</v>
      </c>
      <c r="J46" s="197">
        <v>0</v>
      </c>
      <c r="K46" s="275">
        <f t="shared" si="13"/>
        <v>8.4500000127718522E-5</v>
      </c>
      <c r="L46" s="266">
        <f t="shared" si="15"/>
        <v>-8.4500000127718522E-5</v>
      </c>
    </row>
    <row r="47" spans="1:18" ht="20.25" x14ac:dyDescent="0.25">
      <c r="A47" s="184">
        <v>4</v>
      </c>
      <c r="B47" s="185" t="s">
        <v>149</v>
      </c>
      <c r="C47" s="223">
        <v>279.30151308368016</v>
      </c>
      <c r="D47" s="197">
        <v>311.90000000000003</v>
      </c>
      <c r="E47" s="197">
        <v>0</v>
      </c>
      <c r="F47" s="275">
        <f t="shared" si="12"/>
        <v>32.598486916319871</v>
      </c>
      <c r="G47" s="266">
        <f t="shared" si="14"/>
        <v>-32.598486916319871</v>
      </c>
      <c r="H47" s="196">
        <v>279.30151308368016</v>
      </c>
      <c r="I47" s="197">
        <v>311.89999999999998</v>
      </c>
      <c r="J47" s="197">
        <v>0</v>
      </c>
      <c r="K47" s="275">
        <f t="shared" si="13"/>
        <v>32.598486916319814</v>
      </c>
      <c r="L47" s="266">
        <f t="shared" si="15"/>
        <v>-32.598486916319814</v>
      </c>
    </row>
    <row r="48" spans="1:18" ht="20.25" x14ac:dyDescent="0.25">
      <c r="A48" s="184">
        <v>5</v>
      </c>
      <c r="B48" s="185" t="s">
        <v>174</v>
      </c>
      <c r="C48" s="223">
        <v>485.83406400000001</v>
      </c>
      <c r="D48" s="197">
        <v>485.79999999999995</v>
      </c>
      <c r="E48" s="197">
        <v>0</v>
      </c>
      <c r="F48" s="275">
        <f t="shared" si="12"/>
        <v>-3.4064000000057604E-2</v>
      </c>
      <c r="G48" s="266">
        <f t="shared" si="14"/>
        <v>3.4064000000057604E-2</v>
      </c>
      <c r="H48" s="196">
        <v>485.83406400000001</v>
      </c>
      <c r="I48" s="197">
        <v>485.79999999999995</v>
      </c>
      <c r="J48" s="197">
        <v>0</v>
      </c>
      <c r="K48" s="275">
        <f t="shared" si="13"/>
        <v>-3.4064000000057604E-2</v>
      </c>
      <c r="L48" s="266">
        <f t="shared" si="15"/>
        <v>3.4064000000057604E-2</v>
      </c>
    </row>
    <row r="49" spans="1:13" ht="20.25" x14ac:dyDescent="0.25">
      <c r="A49" s="184">
        <v>6</v>
      </c>
      <c r="B49" s="185" t="s">
        <v>151</v>
      </c>
      <c r="C49" s="223">
        <v>179.30960699999977</v>
      </c>
      <c r="D49" s="197">
        <v>179.5</v>
      </c>
      <c r="E49" s="197">
        <v>0</v>
      </c>
      <c r="F49" s="275">
        <f t="shared" si="12"/>
        <v>0.19039300000022763</v>
      </c>
      <c r="G49" s="266">
        <f t="shared" si="14"/>
        <v>-0.19039300000022763</v>
      </c>
      <c r="H49" s="196">
        <v>179.30960699999977</v>
      </c>
      <c r="I49" s="197">
        <v>137.5</v>
      </c>
      <c r="J49" s="197">
        <v>0</v>
      </c>
      <c r="K49" s="275">
        <f t="shared" si="13"/>
        <v>-41.809606999999772</v>
      </c>
      <c r="L49" s="266">
        <f t="shared" si="15"/>
        <v>41.809606999999772</v>
      </c>
    </row>
    <row r="50" spans="1:13" ht="20.25" x14ac:dyDescent="0.25">
      <c r="A50" s="184">
        <v>7</v>
      </c>
      <c r="B50" s="185" t="s">
        <v>152</v>
      </c>
      <c r="C50" s="223">
        <v>0</v>
      </c>
      <c r="D50" s="197">
        <v>162</v>
      </c>
      <c r="E50" s="197">
        <v>0</v>
      </c>
      <c r="F50" s="275">
        <f t="shared" si="12"/>
        <v>162</v>
      </c>
      <c r="G50" s="266">
        <f t="shared" si="14"/>
        <v>-162</v>
      </c>
      <c r="H50" s="196">
        <v>0</v>
      </c>
      <c r="I50" s="197">
        <v>162</v>
      </c>
      <c r="J50" s="197">
        <v>0</v>
      </c>
      <c r="K50" s="275">
        <f t="shared" si="13"/>
        <v>162</v>
      </c>
      <c r="L50" s="266">
        <f t="shared" si="15"/>
        <v>-162</v>
      </c>
      <c r="M50" s="183"/>
    </row>
    <row r="51" spans="1:13" ht="20.25" x14ac:dyDescent="0.25">
      <c r="A51" s="184">
        <v>8</v>
      </c>
      <c r="B51" s="185" t="s">
        <v>153</v>
      </c>
      <c r="C51" s="223">
        <v>136.31790958913973</v>
      </c>
      <c r="D51" s="197">
        <v>235.7</v>
      </c>
      <c r="E51" s="197">
        <v>0</v>
      </c>
      <c r="F51" s="275">
        <f t="shared" si="12"/>
        <v>99.382090410860258</v>
      </c>
      <c r="G51" s="266">
        <f t="shared" si="14"/>
        <v>-99.382090410860258</v>
      </c>
      <c r="H51" s="196">
        <v>136.31790958913973</v>
      </c>
      <c r="I51" s="197">
        <v>232</v>
      </c>
      <c r="J51" s="197">
        <v>0</v>
      </c>
      <c r="K51" s="275">
        <f t="shared" si="13"/>
        <v>95.682090410860269</v>
      </c>
      <c r="L51" s="266">
        <f t="shared" si="15"/>
        <v>-95.682090410860269</v>
      </c>
    </row>
    <row r="52" spans="1:13" ht="20.25" x14ac:dyDescent="0.25">
      <c r="A52" s="184">
        <v>9</v>
      </c>
      <c r="B52" s="185" t="s">
        <v>154</v>
      </c>
      <c r="C52" s="223">
        <v>278.28047710694983</v>
      </c>
      <c r="D52" s="197">
        <v>340</v>
      </c>
      <c r="E52" s="197">
        <v>0</v>
      </c>
      <c r="F52" s="275">
        <f t="shared" si="12"/>
        <v>61.719522893050168</v>
      </c>
      <c r="G52" s="266">
        <f t="shared" si="14"/>
        <v>-61.719522893050168</v>
      </c>
      <c r="H52" s="196">
        <v>278.28047710694983</v>
      </c>
      <c r="I52" s="197">
        <v>340.00000000000006</v>
      </c>
      <c r="J52" s="197">
        <v>0</v>
      </c>
      <c r="K52" s="275">
        <f t="shared" si="13"/>
        <v>61.719522893050225</v>
      </c>
      <c r="L52" s="266">
        <f t="shared" si="15"/>
        <v>-61.719522893050225</v>
      </c>
    </row>
    <row r="53" spans="1:13" ht="20.25" x14ac:dyDescent="0.25">
      <c r="A53" s="184">
        <v>10</v>
      </c>
      <c r="B53" s="185" t="s">
        <v>15</v>
      </c>
      <c r="C53" s="223">
        <v>278.15980500000006</v>
      </c>
      <c r="D53" s="197">
        <v>328</v>
      </c>
      <c r="E53" s="197">
        <v>0</v>
      </c>
      <c r="F53" s="275">
        <f t="shared" si="12"/>
        <v>49.840194999999937</v>
      </c>
      <c r="G53" s="266">
        <f t="shared" si="14"/>
        <v>-49.840194999999937</v>
      </c>
      <c r="H53" s="196">
        <v>278.15980500000006</v>
      </c>
      <c r="I53" s="197">
        <v>278.2</v>
      </c>
      <c r="J53" s="197">
        <v>0</v>
      </c>
      <c r="K53" s="275">
        <f t="shared" si="13"/>
        <v>4.019499999992604E-2</v>
      </c>
      <c r="L53" s="266">
        <f t="shared" si="15"/>
        <v>-4.019499999992604E-2</v>
      </c>
    </row>
    <row r="54" spans="1:13" ht="20.25" x14ac:dyDescent="0.25">
      <c r="A54" s="184">
        <v>11</v>
      </c>
      <c r="B54" s="185" t="s">
        <v>155</v>
      </c>
      <c r="C54" s="223">
        <v>303.90307745170048</v>
      </c>
      <c r="D54" s="197">
        <v>338</v>
      </c>
      <c r="E54" s="197">
        <v>0</v>
      </c>
      <c r="F54" s="275">
        <f t="shared" si="12"/>
        <v>34.096922548299517</v>
      </c>
      <c r="G54" s="266">
        <f t="shared" si="14"/>
        <v>-34.096922548299517</v>
      </c>
      <c r="H54" s="196">
        <v>303.90307745170048</v>
      </c>
      <c r="I54" s="197">
        <v>338</v>
      </c>
      <c r="J54" s="197">
        <v>0</v>
      </c>
      <c r="K54" s="275">
        <f t="shared" si="13"/>
        <v>34.096922548299517</v>
      </c>
      <c r="L54" s="266">
        <f t="shared" si="15"/>
        <v>-34.096922548299517</v>
      </c>
    </row>
    <row r="55" spans="1:13" ht="20.25" x14ac:dyDescent="0.25">
      <c r="A55" s="184">
        <v>12</v>
      </c>
      <c r="B55" s="185" t="s">
        <v>156</v>
      </c>
      <c r="C55" s="223">
        <v>232.17581380094938</v>
      </c>
      <c r="D55" s="197">
        <v>232.2</v>
      </c>
      <c r="E55" s="197">
        <v>0.2</v>
      </c>
      <c r="F55" s="275">
        <f t="shared" si="12"/>
        <v>2.4186199050603818E-2</v>
      </c>
      <c r="G55" s="266">
        <f t="shared" si="14"/>
        <v>-2.4186199050603818E-2</v>
      </c>
      <c r="H55" s="196">
        <v>232.17581380094938</v>
      </c>
      <c r="I55" s="197">
        <v>232</v>
      </c>
      <c r="J55" s="197">
        <v>0</v>
      </c>
      <c r="K55" s="275">
        <f t="shared" si="13"/>
        <v>-0.17581380094938481</v>
      </c>
      <c r="L55" s="266">
        <f t="shared" si="15"/>
        <v>0.17581380094938481</v>
      </c>
    </row>
    <row r="56" spans="1:13" ht="21" thickBot="1" x14ac:dyDescent="0.3">
      <c r="A56" s="186">
        <v>13</v>
      </c>
      <c r="B56" s="187" t="s">
        <v>18</v>
      </c>
      <c r="C56" s="267">
        <v>429.12937949999974</v>
      </c>
      <c r="D56" s="268">
        <v>429.13</v>
      </c>
      <c r="E56" s="268">
        <v>0</v>
      </c>
      <c r="F56" s="276">
        <f t="shared" si="12"/>
        <v>6.205000002523775E-4</v>
      </c>
      <c r="G56" s="269">
        <f t="shared" si="14"/>
        <v>-6.205000002523775E-4</v>
      </c>
      <c r="H56" s="281">
        <v>429.12937949999974</v>
      </c>
      <c r="I56" s="268">
        <v>429.13000000000005</v>
      </c>
      <c r="J56" s="268">
        <v>0</v>
      </c>
      <c r="K56" s="276">
        <f t="shared" si="13"/>
        <v>6.2050000030922092E-4</v>
      </c>
      <c r="L56" s="269">
        <f t="shared" si="15"/>
        <v>-6.2050000030922092E-4</v>
      </c>
    </row>
    <row r="57" spans="1:13" ht="19.5" thickBot="1" x14ac:dyDescent="0.35">
      <c r="B57" s="481" t="s">
        <v>598</v>
      </c>
      <c r="C57" s="482"/>
      <c r="D57" s="649"/>
      <c r="E57" s="649"/>
      <c r="K57" s="650" t="s">
        <v>77</v>
      </c>
      <c r="L57" s="650"/>
    </row>
    <row r="58" spans="1:13" ht="18" x14ac:dyDescent="0.25">
      <c r="A58" s="651" t="s">
        <v>138</v>
      </c>
      <c r="B58" s="653" t="s">
        <v>139</v>
      </c>
      <c r="C58" s="655" t="s">
        <v>140</v>
      </c>
      <c r="D58" s="656"/>
      <c r="E58" s="656"/>
      <c r="F58" s="656"/>
      <c r="G58" s="657"/>
      <c r="H58" s="655" t="s">
        <v>141</v>
      </c>
      <c r="I58" s="656"/>
      <c r="J58" s="656"/>
      <c r="K58" s="656"/>
      <c r="L58" s="657"/>
    </row>
    <row r="59" spans="1:13" ht="72.75" thickBot="1" x14ac:dyDescent="0.3">
      <c r="A59" s="652"/>
      <c r="B59" s="654"/>
      <c r="C59" s="517" t="s">
        <v>143</v>
      </c>
      <c r="D59" s="277" t="s">
        <v>144</v>
      </c>
      <c r="E59" s="277" t="s">
        <v>186</v>
      </c>
      <c r="F59" s="277" t="s">
        <v>145</v>
      </c>
      <c r="G59" s="518" t="s">
        <v>580</v>
      </c>
      <c r="H59" s="279" t="s">
        <v>143</v>
      </c>
      <c r="I59" s="277" t="s">
        <v>144</v>
      </c>
      <c r="J59" s="277" t="s">
        <v>186</v>
      </c>
      <c r="K59" s="277" t="s">
        <v>145</v>
      </c>
      <c r="L59" s="518" t="s">
        <v>580</v>
      </c>
    </row>
    <row r="60" spans="1:13" ht="19.5" thickBot="1" x14ac:dyDescent="0.3">
      <c r="A60" s="647" t="s">
        <v>3</v>
      </c>
      <c r="B60" s="648"/>
      <c r="C60" s="270">
        <f>SUM(C62:C74)</f>
        <v>3493.9</v>
      </c>
      <c r="D60" s="271">
        <f>SUM(D61:D74)</f>
        <v>3892.8419999999996</v>
      </c>
      <c r="E60" s="521">
        <f t="shared" ref="E60:L60" si="16">SUM(E62:E74)</f>
        <v>0</v>
      </c>
      <c r="F60" s="271">
        <f t="shared" si="16"/>
        <v>4.9419999999999789</v>
      </c>
      <c r="G60" s="272">
        <f t="shared" si="16"/>
        <v>-4.9419999999999789</v>
      </c>
      <c r="H60" s="273">
        <f t="shared" si="16"/>
        <v>3493.9</v>
      </c>
      <c r="I60" s="271">
        <f t="shared" si="16"/>
        <v>3961.9720000000002</v>
      </c>
      <c r="J60" s="521">
        <f t="shared" si="16"/>
        <v>0</v>
      </c>
      <c r="K60" s="271">
        <f t="shared" si="16"/>
        <v>468.07200000000006</v>
      </c>
      <c r="L60" s="272">
        <f t="shared" si="16"/>
        <v>-468.07200000000006</v>
      </c>
    </row>
    <row r="61" spans="1:13" ht="18.75" x14ac:dyDescent="0.25">
      <c r="A61" s="525"/>
      <c r="B61" s="467" t="s">
        <v>578</v>
      </c>
      <c r="C61" s="526"/>
      <c r="D61" s="465">
        <v>394</v>
      </c>
      <c r="E61" s="527"/>
      <c r="F61" s="528"/>
      <c r="G61" s="529"/>
      <c r="H61" s="530"/>
      <c r="I61" s="528"/>
      <c r="J61" s="527"/>
      <c r="K61" s="528"/>
      <c r="L61" s="529"/>
    </row>
    <row r="62" spans="1:13" ht="20.25" x14ac:dyDescent="0.25">
      <c r="A62" s="181">
        <v>1</v>
      </c>
      <c r="B62" s="182" t="s">
        <v>146</v>
      </c>
      <c r="C62" s="263">
        <v>268.2</v>
      </c>
      <c r="D62" s="264">
        <v>270</v>
      </c>
      <c r="E62" s="264">
        <v>0</v>
      </c>
      <c r="F62" s="278">
        <f t="shared" ref="F62:F74" si="17">+D62-C62</f>
        <v>1.8000000000000114</v>
      </c>
      <c r="G62" s="265">
        <f>+F62*(-1)</f>
        <v>-1.8000000000000114</v>
      </c>
      <c r="H62" s="280">
        <v>268.2</v>
      </c>
      <c r="I62" s="264">
        <v>700</v>
      </c>
      <c r="J62" s="264">
        <v>0</v>
      </c>
      <c r="K62" s="278">
        <f t="shared" ref="K62:K74" si="18">+I62-H62</f>
        <v>431.8</v>
      </c>
      <c r="L62" s="265">
        <f>+K62*(-1)</f>
        <v>-431.8</v>
      </c>
    </row>
    <row r="63" spans="1:13" ht="20.25" x14ac:dyDescent="0.25">
      <c r="A63" s="184">
        <v>2</v>
      </c>
      <c r="B63" s="185" t="s">
        <v>147</v>
      </c>
      <c r="C63" s="223">
        <v>243.9</v>
      </c>
      <c r="D63" s="197">
        <v>243.86700000000008</v>
      </c>
      <c r="E63" s="197">
        <v>0</v>
      </c>
      <c r="F63" s="275">
        <f t="shared" si="17"/>
        <v>-3.2999999999930196E-2</v>
      </c>
      <c r="G63" s="266">
        <f t="shared" ref="G63:G74" si="19">+F63*(-1)</f>
        <v>3.2999999999930196E-2</v>
      </c>
      <c r="H63" s="196">
        <v>243.9</v>
      </c>
      <c r="I63" s="197">
        <v>243.86699999999999</v>
      </c>
      <c r="J63" s="197">
        <v>0</v>
      </c>
      <c r="K63" s="275">
        <f t="shared" si="18"/>
        <v>-3.3000000000015461E-2</v>
      </c>
      <c r="L63" s="266">
        <f t="shared" ref="L63:L74" si="20">+K63*(-1)</f>
        <v>3.3000000000015461E-2</v>
      </c>
    </row>
    <row r="64" spans="1:13" ht="20.25" x14ac:dyDescent="0.25">
      <c r="A64" s="184">
        <v>3</v>
      </c>
      <c r="B64" s="185" t="s">
        <v>148</v>
      </c>
      <c r="C64" s="223">
        <v>348.7</v>
      </c>
      <c r="D64" s="197">
        <v>348.7</v>
      </c>
      <c r="E64" s="197">
        <v>0</v>
      </c>
      <c r="F64" s="275">
        <f t="shared" si="17"/>
        <v>0</v>
      </c>
      <c r="G64" s="266">
        <f t="shared" si="19"/>
        <v>0</v>
      </c>
      <c r="H64" s="196">
        <v>348.7</v>
      </c>
      <c r="I64" s="197">
        <v>348.7</v>
      </c>
      <c r="J64" s="197">
        <v>0</v>
      </c>
      <c r="K64" s="275">
        <f t="shared" si="18"/>
        <v>0</v>
      </c>
      <c r="L64" s="266">
        <f t="shared" si="20"/>
        <v>0</v>
      </c>
    </row>
    <row r="65" spans="1:13" ht="20.25" x14ac:dyDescent="0.25">
      <c r="A65" s="184">
        <v>4</v>
      </c>
      <c r="B65" s="185" t="s">
        <v>149</v>
      </c>
      <c r="C65" s="223">
        <v>234.8</v>
      </c>
      <c r="D65" s="197">
        <v>234.76999999999998</v>
      </c>
      <c r="E65" s="197">
        <v>0</v>
      </c>
      <c r="F65" s="275">
        <f t="shared" si="17"/>
        <v>-3.0000000000029559E-2</v>
      </c>
      <c r="G65" s="266">
        <f t="shared" si="19"/>
        <v>3.0000000000029559E-2</v>
      </c>
      <c r="H65" s="196">
        <v>234.8</v>
      </c>
      <c r="I65" s="196">
        <v>234.8</v>
      </c>
      <c r="J65" s="197">
        <v>0</v>
      </c>
      <c r="K65" s="275">
        <f t="shared" si="18"/>
        <v>0</v>
      </c>
      <c r="L65" s="266">
        <f t="shared" si="20"/>
        <v>0</v>
      </c>
      <c r="M65" s="282"/>
    </row>
    <row r="66" spans="1:13" ht="20.25" x14ac:dyDescent="0.25">
      <c r="A66" s="184">
        <v>5</v>
      </c>
      <c r="B66" s="185" t="s">
        <v>174</v>
      </c>
      <c r="C66" s="223">
        <v>325.39999999999998</v>
      </c>
      <c r="D66" s="197">
        <v>325.39999999999998</v>
      </c>
      <c r="E66" s="197">
        <v>0</v>
      </c>
      <c r="F66" s="275">
        <f t="shared" si="17"/>
        <v>0</v>
      </c>
      <c r="G66" s="266">
        <f t="shared" si="19"/>
        <v>0</v>
      </c>
      <c r="H66" s="196">
        <v>325.39999999999998</v>
      </c>
      <c r="I66" s="197">
        <v>325.40000000000009</v>
      </c>
      <c r="J66" s="197">
        <v>0</v>
      </c>
      <c r="K66" s="275">
        <f t="shared" si="18"/>
        <v>0</v>
      </c>
      <c r="L66" s="266">
        <f t="shared" si="20"/>
        <v>0</v>
      </c>
    </row>
    <row r="67" spans="1:13" ht="20.25" x14ac:dyDescent="0.25">
      <c r="A67" s="184">
        <v>6</v>
      </c>
      <c r="B67" s="185" t="s">
        <v>151</v>
      </c>
      <c r="C67" s="223">
        <v>258.10000000000002</v>
      </c>
      <c r="D67" s="197">
        <v>258.10000000000002</v>
      </c>
      <c r="E67" s="197">
        <v>0</v>
      </c>
      <c r="F67" s="275">
        <f t="shared" si="17"/>
        <v>0</v>
      </c>
      <c r="G67" s="266">
        <f t="shared" si="19"/>
        <v>0</v>
      </c>
      <c r="H67" s="196">
        <v>258.10000000000002</v>
      </c>
      <c r="I67" s="197">
        <v>258.10000000000002</v>
      </c>
      <c r="J67" s="197">
        <v>0</v>
      </c>
      <c r="K67" s="275">
        <f t="shared" si="18"/>
        <v>0</v>
      </c>
      <c r="L67" s="266">
        <f t="shared" si="20"/>
        <v>0</v>
      </c>
    </row>
    <row r="68" spans="1:13" ht="20.25" x14ac:dyDescent="0.25">
      <c r="A68" s="184">
        <v>7</v>
      </c>
      <c r="B68" s="185" t="s">
        <v>152</v>
      </c>
      <c r="C68" s="223">
        <v>303.2</v>
      </c>
      <c r="D68" s="197">
        <v>304</v>
      </c>
      <c r="E68" s="197">
        <v>0</v>
      </c>
      <c r="F68" s="275">
        <f t="shared" si="17"/>
        <v>0.80000000000001137</v>
      </c>
      <c r="G68" s="266">
        <f t="shared" si="19"/>
        <v>-0.80000000000001137</v>
      </c>
      <c r="H68" s="196">
        <v>303.2</v>
      </c>
      <c r="I68" s="197">
        <v>304</v>
      </c>
      <c r="J68" s="197">
        <v>0</v>
      </c>
      <c r="K68" s="275">
        <f t="shared" si="18"/>
        <v>0.80000000000001137</v>
      </c>
      <c r="L68" s="266">
        <f t="shared" si="20"/>
        <v>-0.80000000000001137</v>
      </c>
    </row>
    <row r="69" spans="1:13" ht="20.25" x14ac:dyDescent="0.25">
      <c r="A69" s="184">
        <v>8</v>
      </c>
      <c r="B69" s="185" t="s">
        <v>153</v>
      </c>
      <c r="C69" s="223">
        <v>257.7</v>
      </c>
      <c r="D69" s="197">
        <v>260</v>
      </c>
      <c r="E69" s="197">
        <v>0</v>
      </c>
      <c r="F69" s="275">
        <f t="shared" si="17"/>
        <v>2.3000000000000114</v>
      </c>
      <c r="G69" s="266">
        <f t="shared" si="19"/>
        <v>-2.3000000000000114</v>
      </c>
      <c r="H69" s="196">
        <v>257.7</v>
      </c>
      <c r="I69" s="197">
        <v>260</v>
      </c>
      <c r="J69" s="197">
        <v>0</v>
      </c>
      <c r="K69" s="275">
        <f t="shared" si="18"/>
        <v>2.3000000000000114</v>
      </c>
      <c r="L69" s="266">
        <f t="shared" si="20"/>
        <v>-2.3000000000000114</v>
      </c>
    </row>
    <row r="70" spans="1:13" ht="20.25" x14ac:dyDescent="0.25">
      <c r="A70" s="184">
        <v>9</v>
      </c>
      <c r="B70" s="185" t="s">
        <v>154</v>
      </c>
      <c r="C70" s="223">
        <v>196.8</v>
      </c>
      <c r="D70" s="197">
        <v>196.8</v>
      </c>
      <c r="E70" s="197">
        <v>0</v>
      </c>
      <c r="F70" s="275">
        <f t="shared" si="17"/>
        <v>0</v>
      </c>
      <c r="G70" s="266">
        <f t="shared" si="19"/>
        <v>0</v>
      </c>
      <c r="H70" s="196">
        <v>196.8</v>
      </c>
      <c r="I70" s="197">
        <v>230</v>
      </c>
      <c r="J70" s="197">
        <v>0</v>
      </c>
      <c r="K70" s="275">
        <f t="shared" si="18"/>
        <v>33.199999999999989</v>
      </c>
      <c r="L70" s="266">
        <f t="shared" si="20"/>
        <v>-33.199999999999989</v>
      </c>
    </row>
    <row r="71" spans="1:13" ht="20.25" x14ac:dyDescent="0.25">
      <c r="A71" s="184">
        <v>10</v>
      </c>
      <c r="B71" s="185" t="s">
        <v>15</v>
      </c>
      <c r="C71" s="223">
        <v>170.5</v>
      </c>
      <c r="D71" s="197">
        <v>170.50499999999988</v>
      </c>
      <c r="E71" s="197">
        <v>0</v>
      </c>
      <c r="F71" s="275">
        <f t="shared" si="17"/>
        <v>4.9999999998817657E-3</v>
      </c>
      <c r="G71" s="266">
        <f t="shared" si="19"/>
        <v>-4.9999999998817657E-3</v>
      </c>
      <c r="H71" s="196">
        <v>170.5</v>
      </c>
      <c r="I71" s="197">
        <v>170.50500000000005</v>
      </c>
      <c r="J71" s="197">
        <v>0</v>
      </c>
      <c r="K71" s="275">
        <f t="shared" si="18"/>
        <v>5.0000000000522959E-3</v>
      </c>
      <c r="L71" s="266">
        <f t="shared" si="20"/>
        <v>-5.0000000000522959E-3</v>
      </c>
    </row>
    <row r="72" spans="1:13" ht="20.25" x14ac:dyDescent="0.25">
      <c r="A72" s="184">
        <v>11</v>
      </c>
      <c r="B72" s="185" t="s">
        <v>155</v>
      </c>
      <c r="C72" s="223">
        <v>362.9</v>
      </c>
      <c r="D72" s="209">
        <v>363</v>
      </c>
      <c r="E72" s="197">
        <v>0</v>
      </c>
      <c r="F72" s="275">
        <f t="shared" si="17"/>
        <v>0.10000000000002274</v>
      </c>
      <c r="G72" s="266">
        <f t="shared" si="19"/>
        <v>-0.10000000000002274</v>
      </c>
      <c r="H72" s="196">
        <v>362.9</v>
      </c>
      <c r="I72" s="197">
        <v>362.9</v>
      </c>
      <c r="J72" s="197">
        <v>0</v>
      </c>
      <c r="K72" s="275">
        <f t="shared" si="18"/>
        <v>0</v>
      </c>
      <c r="L72" s="266">
        <f t="shared" si="20"/>
        <v>0</v>
      </c>
    </row>
    <row r="73" spans="1:13" ht="20.25" x14ac:dyDescent="0.25">
      <c r="A73" s="184">
        <v>12</v>
      </c>
      <c r="B73" s="185" t="s">
        <v>156</v>
      </c>
      <c r="C73" s="522">
        <v>326.2</v>
      </c>
      <c r="D73" s="524">
        <v>326.2</v>
      </c>
      <c r="E73" s="196">
        <v>0</v>
      </c>
      <c r="F73" s="275">
        <f t="shared" si="17"/>
        <v>0</v>
      </c>
      <c r="G73" s="266">
        <f t="shared" si="19"/>
        <v>0</v>
      </c>
      <c r="H73" s="196">
        <v>326.2</v>
      </c>
      <c r="I73" s="197">
        <v>326.2</v>
      </c>
      <c r="J73" s="197">
        <v>0</v>
      </c>
      <c r="K73" s="275">
        <f t="shared" si="18"/>
        <v>0</v>
      </c>
      <c r="L73" s="266">
        <f t="shared" si="20"/>
        <v>0</v>
      </c>
    </row>
    <row r="74" spans="1:13" ht="21" thickBot="1" x14ac:dyDescent="0.3">
      <c r="A74" s="186">
        <v>13</v>
      </c>
      <c r="B74" s="187" t="s">
        <v>18</v>
      </c>
      <c r="C74" s="267">
        <v>197.5</v>
      </c>
      <c r="D74" s="523">
        <v>197.5</v>
      </c>
      <c r="E74" s="268">
        <v>0</v>
      </c>
      <c r="F74" s="276">
        <f t="shared" si="17"/>
        <v>0</v>
      </c>
      <c r="G74" s="269">
        <f t="shared" si="19"/>
        <v>0</v>
      </c>
      <c r="H74" s="281">
        <v>197.5</v>
      </c>
      <c r="I74" s="268">
        <v>197.5</v>
      </c>
      <c r="J74" s="268">
        <v>0</v>
      </c>
      <c r="K74" s="276">
        <f t="shared" si="18"/>
        <v>0</v>
      </c>
      <c r="L74" s="269">
        <f t="shared" si="20"/>
        <v>0</v>
      </c>
    </row>
    <row r="75" spans="1:13" ht="19.5" thickBot="1" x14ac:dyDescent="0.35">
      <c r="B75" s="481" t="s">
        <v>603</v>
      </c>
      <c r="C75" s="482"/>
      <c r="D75" s="649"/>
      <c r="E75" s="649"/>
      <c r="K75" s="650" t="s">
        <v>77</v>
      </c>
      <c r="L75" s="650"/>
    </row>
    <row r="76" spans="1:13" ht="18" x14ac:dyDescent="0.25">
      <c r="A76" s="651" t="s">
        <v>138</v>
      </c>
      <c r="B76" s="653" t="s">
        <v>139</v>
      </c>
      <c r="C76" s="655" t="s">
        <v>140</v>
      </c>
      <c r="D76" s="656"/>
      <c r="E76" s="656"/>
      <c r="F76" s="656"/>
      <c r="G76" s="657"/>
      <c r="H76" s="655" t="s">
        <v>141</v>
      </c>
      <c r="I76" s="656"/>
      <c r="J76" s="656"/>
      <c r="K76" s="656"/>
      <c r="L76" s="657"/>
    </row>
    <row r="77" spans="1:13" ht="72.75" thickBot="1" x14ac:dyDescent="0.3">
      <c r="A77" s="652"/>
      <c r="B77" s="654"/>
      <c r="C77" s="517" t="s">
        <v>143</v>
      </c>
      <c r="D77" s="277" t="s">
        <v>144</v>
      </c>
      <c r="E77" s="277" t="s">
        <v>186</v>
      </c>
      <c r="F77" s="277" t="s">
        <v>145</v>
      </c>
      <c r="G77" s="518" t="s">
        <v>580</v>
      </c>
      <c r="H77" s="279" t="s">
        <v>143</v>
      </c>
      <c r="I77" s="277" t="s">
        <v>144</v>
      </c>
      <c r="J77" s="277" t="s">
        <v>186</v>
      </c>
      <c r="K77" s="277" t="s">
        <v>145</v>
      </c>
      <c r="L77" s="518" t="s">
        <v>580</v>
      </c>
    </row>
    <row r="78" spans="1:13" ht="19.5" thickBot="1" x14ac:dyDescent="0.3">
      <c r="A78" s="647" t="s">
        <v>3</v>
      </c>
      <c r="B78" s="648"/>
      <c r="C78" s="270">
        <f>SUM(C80:C92)</f>
        <v>2968.3205640000006</v>
      </c>
      <c r="D78" s="271">
        <f>SUM(D79:D92)</f>
        <v>2970.8177990000004</v>
      </c>
      <c r="E78" s="521">
        <f t="shared" ref="E78:L78" si="21">SUM(E80:E92)</f>
        <v>0</v>
      </c>
      <c r="F78" s="271">
        <f t="shared" si="21"/>
        <v>2.4972350000001313</v>
      </c>
      <c r="G78" s="272">
        <f t="shared" si="21"/>
        <v>-2.4972350000001313</v>
      </c>
      <c r="H78" s="273">
        <f t="shared" si="21"/>
        <v>2968.3205640000006</v>
      </c>
      <c r="I78" s="271">
        <f t="shared" si="21"/>
        <v>3047.5177990000002</v>
      </c>
      <c r="J78" s="521">
        <f t="shared" si="21"/>
        <v>0</v>
      </c>
      <c r="K78" s="271">
        <f t="shared" si="21"/>
        <v>79.19723500000012</v>
      </c>
      <c r="L78" s="272">
        <f t="shared" si="21"/>
        <v>-79.19723500000012</v>
      </c>
    </row>
    <row r="79" spans="1:13" ht="18.75" x14ac:dyDescent="0.25">
      <c r="A79" s="525"/>
      <c r="B79" s="582" t="s">
        <v>578</v>
      </c>
      <c r="C79" s="530"/>
      <c r="D79" s="465"/>
      <c r="E79" s="527"/>
      <c r="F79" s="528"/>
      <c r="G79" s="529"/>
      <c r="H79" s="530"/>
      <c r="I79" s="528"/>
      <c r="J79" s="527"/>
      <c r="K79" s="528"/>
      <c r="L79" s="529"/>
    </row>
    <row r="80" spans="1:13" ht="20.25" x14ac:dyDescent="0.25">
      <c r="A80" s="578">
        <v>1</v>
      </c>
      <c r="B80" s="583" t="s">
        <v>146</v>
      </c>
      <c r="C80" s="280">
        <v>246.23914649999966</v>
      </c>
      <c r="D80" s="264">
        <v>247</v>
      </c>
      <c r="E80" s="264">
        <v>0</v>
      </c>
      <c r="F80" s="278">
        <f t="shared" ref="F80:F92" si="22">+D80-C80</f>
        <v>0.76085350000033714</v>
      </c>
      <c r="G80" s="265">
        <f>+F80*(-1)</f>
        <v>-0.76085350000033714</v>
      </c>
      <c r="H80" s="280">
        <v>246.23914649999966</v>
      </c>
      <c r="I80" s="264">
        <v>247</v>
      </c>
      <c r="J80" s="264">
        <v>0</v>
      </c>
      <c r="K80" s="278">
        <f t="shared" ref="K80:K92" si="23">+I80-H80</f>
        <v>0.76085350000033714</v>
      </c>
      <c r="L80" s="265">
        <f>+K80*(-1)</f>
        <v>-0.76085350000033714</v>
      </c>
    </row>
    <row r="81" spans="1:12" ht="20.25" x14ac:dyDescent="0.25">
      <c r="A81" s="579">
        <v>2</v>
      </c>
      <c r="B81" s="584" t="s">
        <v>147</v>
      </c>
      <c r="C81" s="208">
        <v>393.37405499999977</v>
      </c>
      <c r="D81" s="209">
        <v>393.37499999999989</v>
      </c>
      <c r="E81" s="197">
        <v>0</v>
      </c>
      <c r="F81" s="275">
        <f t="shared" si="22"/>
        <v>9.4500000011521479E-4</v>
      </c>
      <c r="G81" s="266">
        <f t="shared" ref="G81:G92" si="24">+F81*(-1)</f>
        <v>-9.4500000011521479E-4</v>
      </c>
      <c r="H81" s="196">
        <v>393.37405499999977</v>
      </c>
      <c r="I81" s="197">
        <v>393.37499999999989</v>
      </c>
      <c r="J81" s="197">
        <v>0</v>
      </c>
      <c r="K81" s="275">
        <f t="shared" si="23"/>
        <v>9.4500000011521479E-4</v>
      </c>
      <c r="L81" s="266">
        <f t="shared" ref="L81:L92" si="25">+K81*(-1)</f>
        <v>-9.4500000011521479E-4</v>
      </c>
    </row>
    <row r="82" spans="1:12" ht="20.25" x14ac:dyDescent="0.25">
      <c r="A82" s="579">
        <v>3</v>
      </c>
      <c r="B82" s="584" t="s">
        <v>148</v>
      </c>
      <c r="C82" s="524">
        <v>321.04891200000009</v>
      </c>
      <c r="D82" s="577">
        <v>321.05</v>
      </c>
      <c r="E82" s="576">
        <v>0</v>
      </c>
      <c r="F82" s="275">
        <f t="shared" si="22"/>
        <v>1.0879999999247048E-3</v>
      </c>
      <c r="G82" s="266">
        <f t="shared" si="24"/>
        <v>-1.0879999999247048E-3</v>
      </c>
      <c r="H82" s="196">
        <v>321.04891200000009</v>
      </c>
      <c r="I82" s="197">
        <v>321.05</v>
      </c>
      <c r="J82" s="197">
        <v>0</v>
      </c>
      <c r="K82" s="275">
        <f t="shared" si="23"/>
        <v>1.0879999999247048E-3</v>
      </c>
      <c r="L82" s="266">
        <f t="shared" si="25"/>
        <v>-1.0879999999247048E-3</v>
      </c>
    </row>
    <row r="83" spans="1:12" ht="20.25" x14ac:dyDescent="0.25">
      <c r="A83" s="579">
        <v>4</v>
      </c>
      <c r="B83" s="584" t="s">
        <v>149</v>
      </c>
      <c r="C83" s="524">
        <v>160.24421550000017</v>
      </c>
      <c r="D83" s="524">
        <v>160.24421550000017</v>
      </c>
      <c r="E83" s="576">
        <v>0</v>
      </c>
      <c r="F83" s="275">
        <f t="shared" si="22"/>
        <v>0</v>
      </c>
      <c r="G83" s="266">
        <f t="shared" si="24"/>
        <v>0</v>
      </c>
      <c r="H83" s="196">
        <v>160.24421550000017</v>
      </c>
      <c r="I83" s="196">
        <v>160.24421550000017</v>
      </c>
      <c r="J83" s="197">
        <v>0</v>
      </c>
      <c r="K83" s="275">
        <f t="shared" si="23"/>
        <v>0</v>
      </c>
      <c r="L83" s="266">
        <f t="shared" si="25"/>
        <v>0</v>
      </c>
    </row>
    <row r="84" spans="1:12" ht="20.25" x14ac:dyDescent="0.25">
      <c r="A84" s="579">
        <v>5</v>
      </c>
      <c r="B84" s="584" t="s">
        <v>174</v>
      </c>
      <c r="C84" s="280">
        <v>338.82215099999985</v>
      </c>
      <c r="D84" s="264">
        <v>338.79999999999995</v>
      </c>
      <c r="E84" s="197">
        <v>0</v>
      </c>
      <c r="F84" s="275">
        <f t="shared" si="22"/>
        <v>-2.2150999999894339E-2</v>
      </c>
      <c r="G84" s="266">
        <f t="shared" si="24"/>
        <v>2.2150999999894339E-2</v>
      </c>
      <c r="H84" s="196">
        <v>338.82215099999985</v>
      </c>
      <c r="I84" s="197">
        <v>338.79999999999995</v>
      </c>
      <c r="J84" s="197">
        <v>0</v>
      </c>
      <c r="K84" s="275">
        <f t="shared" si="23"/>
        <v>-2.2150999999894339E-2</v>
      </c>
      <c r="L84" s="266">
        <f t="shared" si="25"/>
        <v>2.2150999999894339E-2</v>
      </c>
    </row>
    <row r="85" spans="1:12" ht="20.25" x14ac:dyDescent="0.25">
      <c r="A85" s="579">
        <v>6</v>
      </c>
      <c r="B85" s="584" t="s">
        <v>151</v>
      </c>
      <c r="C85" s="196">
        <v>134.55537450000017</v>
      </c>
      <c r="D85" s="197">
        <v>134.55537450000017</v>
      </c>
      <c r="E85" s="197">
        <v>0</v>
      </c>
      <c r="F85" s="275">
        <f t="shared" si="22"/>
        <v>0</v>
      </c>
      <c r="G85" s="266">
        <f t="shared" si="24"/>
        <v>0</v>
      </c>
      <c r="H85" s="196">
        <v>134.55537450000017</v>
      </c>
      <c r="I85" s="197">
        <v>134.55537450000017</v>
      </c>
      <c r="J85" s="197">
        <v>0</v>
      </c>
      <c r="K85" s="275">
        <f t="shared" si="23"/>
        <v>0</v>
      </c>
      <c r="L85" s="266">
        <f t="shared" si="25"/>
        <v>0</v>
      </c>
    </row>
    <row r="86" spans="1:12" ht="20.25" x14ac:dyDescent="0.25">
      <c r="A86" s="579">
        <v>7</v>
      </c>
      <c r="B86" s="584" t="s">
        <v>152</v>
      </c>
      <c r="C86" s="196">
        <v>341.27683800000017</v>
      </c>
      <c r="D86" s="197">
        <v>342</v>
      </c>
      <c r="E86" s="197">
        <v>0</v>
      </c>
      <c r="F86" s="275">
        <f t="shared" si="22"/>
        <v>0.72316199999983155</v>
      </c>
      <c r="G86" s="266">
        <f t="shared" si="24"/>
        <v>-0.72316199999983155</v>
      </c>
      <c r="H86" s="196">
        <v>341.27683800000017</v>
      </c>
      <c r="I86" s="197">
        <v>342</v>
      </c>
      <c r="J86" s="197">
        <v>0</v>
      </c>
      <c r="K86" s="275">
        <f t="shared" si="23"/>
        <v>0.72316199999983155</v>
      </c>
      <c r="L86" s="266">
        <f t="shared" si="25"/>
        <v>-0.72316199999983155</v>
      </c>
    </row>
    <row r="87" spans="1:12" ht="20.25" x14ac:dyDescent="0.25">
      <c r="A87" s="579">
        <v>8</v>
      </c>
      <c r="B87" s="584" t="s">
        <v>153</v>
      </c>
      <c r="C87" s="196">
        <v>222.57234300000007</v>
      </c>
      <c r="D87" s="197">
        <v>223</v>
      </c>
      <c r="E87" s="197">
        <v>0</v>
      </c>
      <c r="F87" s="275">
        <f t="shared" si="22"/>
        <v>0.42765699999992535</v>
      </c>
      <c r="G87" s="266">
        <f t="shared" si="24"/>
        <v>-0.42765699999992535</v>
      </c>
      <c r="H87" s="196">
        <v>222.57234300000007</v>
      </c>
      <c r="I87" s="197">
        <v>300</v>
      </c>
      <c r="J87" s="197">
        <v>0</v>
      </c>
      <c r="K87" s="275">
        <f t="shared" si="23"/>
        <v>77.427656999999925</v>
      </c>
      <c r="L87" s="266">
        <f t="shared" si="25"/>
        <v>-77.427656999999925</v>
      </c>
    </row>
    <row r="88" spans="1:12" ht="20.25" x14ac:dyDescent="0.25">
      <c r="A88" s="579">
        <v>9</v>
      </c>
      <c r="B88" s="584" t="s">
        <v>154</v>
      </c>
      <c r="C88" s="196">
        <v>166.99320900000006</v>
      </c>
      <c r="D88" s="197">
        <v>166.99320900000006</v>
      </c>
      <c r="E88" s="197">
        <v>0</v>
      </c>
      <c r="F88" s="275">
        <f t="shared" si="22"/>
        <v>0</v>
      </c>
      <c r="G88" s="266">
        <f t="shared" si="24"/>
        <v>0</v>
      </c>
      <c r="H88" s="196">
        <v>166.99320900000006</v>
      </c>
      <c r="I88" s="197">
        <v>166.99320900000006</v>
      </c>
      <c r="J88" s="197">
        <v>0</v>
      </c>
      <c r="K88" s="275">
        <f t="shared" si="23"/>
        <v>0</v>
      </c>
      <c r="L88" s="266">
        <f t="shared" si="25"/>
        <v>0</v>
      </c>
    </row>
    <row r="89" spans="1:12" ht="20.25" x14ac:dyDescent="0.25">
      <c r="A89" s="579">
        <v>10</v>
      </c>
      <c r="B89" s="584" t="s">
        <v>15</v>
      </c>
      <c r="C89" s="196">
        <v>151.58122950000012</v>
      </c>
      <c r="D89" s="197">
        <v>151.6</v>
      </c>
      <c r="E89" s="197">
        <v>0</v>
      </c>
      <c r="F89" s="275">
        <f t="shared" si="22"/>
        <v>1.8770499999874346E-2</v>
      </c>
      <c r="G89" s="266">
        <f t="shared" si="24"/>
        <v>-1.8770499999874346E-2</v>
      </c>
      <c r="H89" s="196">
        <v>151.58122950000012</v>
      </c>
      <c r="I89" s="197">
        <v>151.6</v>
      </c>
      <c r="J89" s="197">
        <v>0</v>
      </c>
      <c r="K89" s="275">
        <f t="shared" si="23"/>
        <v>1.8770499999874346E-2</v>
      </c>
      <c r="L89" s="266">
        <f t="shared" si="25"/>
        <v>-1.8770499999874346E-2</v>
      </c>
    </row>
    <row r="90" spans="1:12" ht="20.25" x14ac:dyDescent="0.25">
      <c r="A90" s="579">
        <v>11</v>
      </c>
      <c r="B90" s="584" t="s">
        <v>155</v>
      </c>
      <c r="C90" s="196">
        <v>153.2616405000002</v>
      </c>
      <c r="D90" s="209">
        <v>153.30000000000001</v>
      </c>
      <c r="E90" s="197">
        <v>0</v>
      </c>
      <c r="F90" s="275">
        <f t="shared" si="22"/>
        <v>3.8359499999813806E-2</v>
      </c>
      <c r="G90" s="266">
        <f t="shared" si="24"/>
        <v>-3.8359499999813806E-2</v>
      </c>
      <c r="H90" s="196">
        <v>153.2616405000002</v>
      </c>
      <c r="I90" s="197">
        <v>153</v>
      </c>
      <c r="J90" s="197">
        <v>0</v>
      </c>
      <c r="K90" s="275">
        <f t="shared" si="23"/>
        <v>-0.26164050000019756</v>
      </c>
      <c r="L90" s="266">
        <f t="shared" si="25"/>
        <v>0.26164050000019756</v>
      </c>
    </row>
    <row r="91" spans="1:12" ht="20.25" x14ac:dyDescent="0.25">
      <c r="A91" s="579">
        <v>12</v>
      </c>
      <c r="B91" s="584" t="s">
        <v>156</v>
      </c>
      <c r="C91" s="581">
        <v>213.93521249999998</v>
      </c>
      <c r="D91" s="524">
        <v>213.9</v>
      </c>
      <c r="E91" s="196">
        <v>0</v>
      </c>
      <c r="F91" s="275">
        <f t="shared" si="22"/>
        <v>-3.5212499999971669E-2</v>
      </c>
      <c r="G91" s="266">
        <f t="shared" si="24"/>
        <v>3.5212499999971669E-2</v>
      </c>
      <c r="H91" s="196">
        <v>213.93521249999998</v>
      </c>
      <c r="I91" s="197">
        <v>213.9</v>
      </c>
      <c r="J91" s="197">
        <v>0</v>
      </c>
      <c r="K91" s="275">
        <f t="shared" si="23"/>
        <v>-3.5212499999971669E-2</v>
      </c>
      <c r="L91" s="266">
        <f t="shared" si="25"/>
        <v>3.5212499999971669E-2</v>
      </c>
    </row>
    <row r="92" spans="1:12" ht="21" thickBot="1" x14ac:dyDescent="0.3">
      <c r="A92" s="580">
        <v>13</v>
      </c>
      <c r="B92" s="585" t="s">
        <v>18</v>
      </c>
      <c r="C92" s="281">
        <v>124.41623699999982</v>
      </c>
      <c r="D92" s="523">
        <v>125</v>
      </c>
      <c r="E92" s="268">
        <v>0</v>
      </c>
      <c r="F92" s="276">
        <f t="shared" si="22"/>
        <v>0.58376300000017523</v>
      </c>
      <c r="G92" s="269">
        <f t="shared" si="24"/>
        <v>-0.58376300000017523</v>
      </c>
      <c r="H92" s="281">
        <v>124.41623699999982</v>
      </c>
      <c r="I92" s="268">
        <v>125</v>
      </c>
      <c r="J92" s="268">
        <v>0</v>
      </c>
      <c r="K92" s="276">
        <f t="shared" si="23"/>
        <v>0.58376300000017523</v>
      </c>
      <c r="L92" s="269">
        <f t="shared" si="25"/>
        <v>-0.58376300000017523</v>
      </c>
    </row>
  </sheetData>
  <mergeCells count="38">
    <mergeCell ref="A60:B60"/>
    <mergeCell ref="D57:E57"/>
    <mergeCell ref="K57:L57"/>
    <mergeCell ref="A58:A59"/>
    <mergeCell ref="B58:B59"/>
    <mergeCell ref="C58:G58"/>
    <mergeCell ref="H58:L58"/>
    <mergeCell ref="C41:G41"/>
    <mergeCell ref="H41:L41"/>
    <mergeCell ref="D40:E40"/>
    <mergeCell ref="A43:B43"/>
    <mergeCell ref="A25:B25"/>
    <mergeCell ref="K40:L40"/>
    <mergeCell ref="A41:A42"/>
    <mergeCell ref="B41:B42"/>
    <mergeCell ref="A1:L1"/>
    <mergeCell ref="A2:L2"/>
    <mergeCell ref="A23:A24"/>
    <mergeCell ref="B23:B24"/>
    <mergeCell ref="K22:L22"/>
    <mergeCell ref="C23:G23"/>
    <mergeCell ref="H23:L23"/>
    <mergeCell ref="A22:C22"/>
    <mergeCell ref="D22:F22"/>
    <mergeCell ref="A5:A6"/>
    <mergeCell ref="B5:B6"/>
    <mergeCell ref="C5:G5"/>
    <mergeCell ref="H5:L5"/>
    <mergeCell ref="A7:B7"/>
    <mergeCell ref="C4:E4"/>
    <mergeCell ref="K4:L4"/>
    <mergeCell ref="A78:B78"/>
    <mergeCell ref="D75:E75"/>
    <mergeCell ref="K75:L75"/>
    <mergeCell ref="A76:A77"/>
    <mergeCell ref="B76:B77"/>
    <mergeCell ref="C76:G76"/>
    <mergeCell ref="H76:L76"/>
  </mergeCells>
  <printOptions horizontalCentered="1"/>
  <pageMargins left="0.70866141732283472" right="0.70866141732283472" top="0.74803149606299213" bottom="0.74803149606299213" header="0.31496062992125984" footer="0.31496062992125984"/>
  <pageSetup paperSize="9" scale="33" orientation="portrait" verticalDpi="300" r:id="rId1"/>
  <ignoredErrors>
    <ignoredError sqref="D60 D9:D21 E9:E21 J9:J2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84"/>
  <sheetViews>
    <sheetView view="pageBreakPreview" topLeftCell="A179" zoomScale="70" zoomScaleNormal="85" zoomScaleSheetLayoutView="70" workbookViewId="0">
      <selection activeCell="AG16" sqref="AG16"/>
    </sheetView>
  </sheetViews>
  <sheetFormatPr defaultRowHeight="15" outlineLevelCol="1" x14ac:dyDescent="0.25"/>
  <cols>
    <col min="1" max="1" width="5" style="286" customWidth="1"/>
    <col min="2" max="2" width="26.42578125" style="286" customWidth="1"/>
    <col min="3" max="3" width="10.5703125" style="286" bestFit="1" customWidth="1"/>
    <col min="4" max="4" width="15" style="286" bestFit="1" customWidth="1"/>
    <col min="5" max="5" width="10.5703125" style="286" customWidth="1"/>
    <col min="6" max="6" width="15" style="286" customWidth="1"/>
    <col min="7" max="7" width="9.85546875" style="286" bestFit="1" customWidth="1"/>
    <col min="8" max="8" width="9.42578125" style="286" bestFit="1" customWidth="1"/>
    <col min="9" max="9" width="18.42578125" style="286" customWidth="1" outlineLevel="1"/>
    <col min="10" max="10" width="15.42578125" style="286" customWidth="1" outlineLevel="1"/>
    <col min="11" max="11" width="9.28515625" style="286" bestFit="1" customWidth="1"/>
    <col min="12" max="12" width="16.5703125" style="286" customWidth="1"/>
    <col min="13" max="13" width="10.5703125" style="286" bestFit="1" customWidth="1"/>
    <col min="14" max="14" width="13.5703125" style="286" bestFit="1" customWidth="1"/>
    <col min="15" max="16" width="9.85546875" style="286" bestFit="1" customWidth="1"/>
    <col min="17" max="17" width="9.42578125" style="286" bestFit="1" customWidth="1"/>
    <col min="18" max="18" width="13.85546875" style="286" bestFit="1" customWidth="1"/>
    <col min="19" max="19" width="10.5703125" style="286" bestFit="1" customWidth="1"/>
    <col min="20" max="20" width="13.5703125" style="286" bestFit="1" customWidth="1"/>
    <col min="21" max="21" width="9.85546875" style="286" bestFit="1" customWidth="1"/>
    <col min="22" max="22" width="10.5703125" style="286" customWidth="1"/>
    <col min="23" max="23" width="9.28515625" style="286" bestFit="1" customWidth="1"/>
    <col min="24" max="24" width="13.85546875" style="286" bestFit="1" customWidth="1"/>
    <col min="25" max="25" width="10.5703125" style="286" bestFit="1" customWidth="1"/>
    <col min="26" max="26" width="13.5703125" style="286" bestFit="1" customWidth="1"/>
    <col min="27" max="28" width="9.85546875" style="286" bestFit="1" customWidth="1"/>
    <col min="29" max="29" width="13.7109375" style="286" bestFit="1" customWidth="1"/>
    <col min="30" max="30" width="12.140625" style="286" bestFit="1" customWidth="1"/>
    <col min="31" max="31" width="13.42578125" style="286" bestFit="1" customWidth="1"/>
    <col min="32" max="32" width="11.140625" style="286" bestFit="1" customWidth="1"/>
    <col min="33" max="33" width="11.5703125" style="286" bestFit="1" customWidth="1"/>
    <col min="34" max="34" width="11.5703125" style="286" customWidth="1"/>
    <col min="35" max="35" width="12.7109375" style="286" bestFit="1" customWidth="1"/>
    <col min="36" max="38" width="11.5703125" style="286" customWidth="1"/>
    <col min="39" max="39" width="12.7109375" style="286" bestFit="1" customWidth="1"/>
    <col min="40" max="40" width="11.5703125" style="286" bestFit="1" customWidth="1"/>
    <col min="41" max="41" width="15" style="286" customWidth="1"/>
    <col min="42" max="42" width="12.7109375" style="286" bestFit="1" customWidth="1"/>
    <col min="43" max="43" width="11.5703125" style="286" bestFit="1" customWidth="1"/>
    <col min="44" max="44" width="13.85546875" style="286" customWidth="1"/>
    <col min="45" max="45" width="11.5703125" style="286" bestFit="1" customWidth="1"/>
    <col min="46" max="46" width="12.7109375" style="286" bestFit="1" customWidth="1"/>
    <col min="47" max="47" width="11.5703125" style="286" bestFit="1" customWidth="1"/>
    <col min="48" max="48" width="12.42578125" style="286" customWidth="1"/>
    <col min="49" max="49" width="12.7109375" style="286" bestFit="1" customWidth="1"/>
    <col min="50" max="50" width="9.140625" style="286"/>
    <col min="51" max="51" width="12.42578125" style="286" customWidth="1"/>
    <col min="52" max="52" width="11.5703125" style="286" bestFit="1" customWidth="1"/>
    <col min="53" max="53" width="12.7109375" style="286" bestFit="1" customWidth="1"/>
    <col min="54" max="54" width="9.140625" style="286"/>
    <col min="55" max="55" width="12.85546875" style="286" customWidth="1"/>
    <col min="56" max="58" width="9.140625" style="286"/>
    <col min="59" max="59" width="13.28515625" style="286" customWidth="1"/>
    <col min="60" max="16384" width="9.140625" style="286"/>
  </cols>
  <sheetData>
    <row r="1" spans="1:54" ht="20.25" x14ac:dyDescent="0.25">
      <c r="C1" s="287"/>
      <c r="D1" s="287"/>
      <c r="E1" s="287"/>
      <c r="F1" s="287"/>
      <c r="G1" s="287"/>
      <c r="H1" s="287"/>
      <c r="I1" s="287"/>
      <c r="J1" s="287"/>
      <c r="K1" s="287"/>
      <c r="L1" s="287"/>
      <c r="M1" s="287"/>
      <c r="N1" s="287"/>
      <c r="O1" s="287"/>
      <c r="P1" s="287"/>
      <c r="Q1" s="287"/>
      <c r="R1" s="287"/>
      <c r="S1" s="287"/>
      <c r="T1" s="287"/>
      <c r="U1" s="287"/>
      <c r="V1" s="287"/>
      <c r="W1" s="288"/>
      <c r="Y1" s="697" t="s">
        <v>191</v>
      </c>
      <c r="Z1" s="697"/>
      <c r="AA1" s="697"/>
    </row>
    <row r="2" spans="1:54" ht="82.5" customHeight="1" x14ac:dyDescent="0.25">
      <c r="A2" s="698" t="s">
        <v>192</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row>
    <row r="3" spans="1:54" ht="22.5" x14ac:dyDescent="0.3">
      <c r="A3" s="699" t="s">
        <v>193</v>
      </c>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row>
    <row r="4" spans="1:54" ht="23.25" thickBot="1" x14ac:dyDescent="0.35">
      <c r="A4" s="397"/>
      <c r="B4" s="422" t="s">
        <v>563</v>
      </c>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row>
    <row r="5" spans="1:54" ht="16.5" thickBot="1" x14ac:dyDescent="0.3">
      <c r="A5" s="701" t="s">
        <v>0</v>
      </c>
      <c r="B5" s="705" t="s">
        <v>195</v>
      </c>
      <c r="C5" s="670" t="s">
        <v>196</v>
      </c>
      <c r="D5" s="671"/>
      <c r="E5" s="671"/>
      <c r="F5" s="671"/>
      <c r="G5" s="671"/>
      <c r="H5" s="672"/>
      <c r="I5" s="673" t="s">
        <v>557</v>
      </c>
      <c r="J5" s="674"/>
      <c r="K5" s="679" t="s">
        <v>197</v>
      </c>
      <c r="L5" s="680"/>
      <c r="M5" s="680"/>
      <c r="N5" s="680"/>
      <c r="O5" s="680"/>
      <c r="P5" s="680"/>
      <c r="Q5" s="680"/>
      <c r="R5" s="680"/>
      <c r="S5" s="680"/>
      <c r="T5" s="680"/>
      <c r="U5" s="680"/>
      <c r="V5" s="680"/>
      <c r="W5" s="680"/>
      <c r="X5" s="680"/>
      <c r="Y5" s="680"/>
      <c r="Z5" s="680"/>
      <c r="AA5" s="680"/>
      <c r="AB5" s="681"/>
    </row>
    <row r="6" spans="1:54" ht="15.75" x14ac:dyDescent="0.25">
      <c r="A6" s="702"/>
      <c r="B6" s="706"/>
      <c r="C6" s="682" t="s">
        <v>143</v>
      </c>
      <c r="D6" s="683"/>
      <c r="E6" s="686" t="s">
        <v>198</v>
      </c>
      <c r="F6" s="683"/>
      <c r="G6" s="686" t="s">
        <v>199</v>
      </c>
      <c r="H6" s="688"/>
      <c r="I6" s="675"/>
      <c r="J6" s="676"/>
      <c r="K6" s="690" t="s">
        <v>200</v>
      </c>
      <c r="L6" s="691"/>
      <c r="M6" s="691"/>
      <c r="N6" s="691"/>
      <c r="O6" s="691"/>
      <c r="P6" s="692"/>
      <c r="Q6" s="690" t="s">
        <v>201</v>
      </c>
      <c r="R6" s="691"/>
      <c r="S6" s="691"/>
      <c r="T6" s="691"/>
      <c r="U6" s="691"/>
      <c r="V6" s="692"/>
      <c r="W6" s="690" t="s">
        <v>202</v>
      </c>
      <c r="X6" s="691"/>
      <c r="Y6" s="691"/>
      <c r="Z6" s="691"/>
      <c r="AA6" s="691"/>
      <c r="AB6" s="692"/>
    </row>
    <row r="7" spans="1:54" ht="15.75" x14ac:dyDescent="0.25">
      <c r="A7" s="703"/>
      <c r="B7" s="707"/>
      <c r="C7" s="684"/>
      <c r="D7" s="685"/>
      <c r="E7" s="687"/>
      <c r="F7" s="685"/>
      <c r="G7" s="687"/>
      <c r="H7" s="689"/>
      <c r="I7" s="677"/>
      <c r="J7" s="678"/>
      <c r="K7" s="693" t="s">
        <v>143</v>
      </c>
      <c r="L7" s="694"/>
      <c r="M7" s="695" t="s">
        <v>198</v>
      </c>
      <c r="N7" s="694"/>
      <c r="O7" s="695" t="s">
        <v>199</v>
      </c>
      <c r="P7" s="696"/>
      <c r="Q7" s="693" t="s">
        <v>143</v>
      </c>
      <c r="R7" s="694"/>
      <c r="S7" s="695" t="s">
        <v>198</v>
      </c>
      <c r="T7" s="694"/>
      <c r="U7" s="695" t="s">
        <v>199</v>
      </c>
      <c r="V7" s="696"/>
      <c r="W7" s="693" t="s">
        <v>143</v>
      </c>
      <c r="X7" s="694"/>
      <c r="Y7" s="695" t="s">
        <v>198</v>
      </c>
      <c r="Z7" s="694"/>
      <c r="AA7" s="695" t="s">
        <v>199</v>
      </c>
      <c r="AB7" s="696"/>
      <c r="AH7" s="711" t="s">
        <v>200</v>
      </c>
      <c r="AI7" s="711"/>
      <c r="AJ7" s="711"/>
      <c r="AK7" s="711"/>
      <c r="AL7" s="711"/>
      <c r="AM7" s="711"/>
      <c r="AN7" s="711"/>
      <c r="AO7" s="715" t="s">
        <v>556</v>
      </c>
      <c r="AP7" s="716"/>
      <c r="AQ7" s="716"/>
      <c r="AR7" s="716"/>
      <c r="AS7" s="716"/>
      <c r="AT7" s="716"/>
      <c r="AU7" s="717"/>
      <c r="AV7" s="712" t="s">
        <v>202</v>
      </c>
      <c r="AW7" s="713"/>
      <c r="AX7" s="713"/>
      <c r="AY7" s="713"/>
      <c r="AZ7" s="713"/>
      <c r="BA7" s="713"/>
      <c r="BB7" s="714"/>
    </row>
    <row r="8" spans="1:54" ht="45.75" thickBot="1" x14ac:dyDescent="0.3">
      <c r="A8" s="704"/>
      <c r="B8" s="708"/>
      <c r="C8" s="395" t="s">
        <v>203</v>
      </c>
      <c r="D8" s="290" t="s">
        <v>204</v>
      </c>
      <c r="E8" s="290" t="s">
        <v>203</v>
      </c>
      <c r="F8" s="290" t="s">
        <v>204</v>
      </c>
      <c r="G8" s="290" t="s">
        <v>203</v>
      </c>
      <c r="H8" s="290" t="s">
        <v>204</v>
      </c>
      <c r="I8" s="395" t="s">
        <v>558</v>
      </c>
      <c r="J8" s="396" t="s">
        <v>204</v>
      </c>
      <c r="K8" s="395" t="s">
        <v>203</v>
      </c>
      <c r="L8" s="290" t="s">
        <v>204</v>
      </c>
      <c r="M8" s="290" t="s">
        <v>203</v>
      </c>
      <c r="N8" s="290" t="s">
        <v>204</v>
      </c>
      <c r="O8" s="290" t="s">
        <v>203</v>
      </c>
      <c r="P8" s="290" t="s">
        <v>204</v>
      </c>
      <c r="Q8" s="395" t="s">
        <v>203</v>
      </c>
      <c r="R8" s="290" t="s">
        <v>204</v>
      </c>
      <c r="S8" s="290" t="s">
        <v>203</v>
      </c>
      <c r="T8" s="290" t="s">
        <v>204</v>
      </c>
      <c r="U8" s="290" t="s">
        <v>203</v>
      </c>
      <c r="V8" s="290" t="s">
        <v>204</v>
      </c>
      <c r="W8" s="395" t="s">
        <v>203</v>
      </c>
      <c r="X8" s="290" t="s">
        <v>204</v>
      </c>
      <c r="Y8" s="290" t="s">
        <v>203</v>
      </c>
      <c r="Z8" s="290" t="s">
        <v>204</v>
      </c>
      <c r="AA8" s="290" t="s">
        <v>203</v>
      </c>
      <c r="AB8" s="396" t="s">
        <v>204</v>
      </c>
      <c r="AH8" s="438" t="s">
        <v>564</v>
      </c>
      <c r="AI8" s="438" t="s">
        <v>565</v>
      </c>
      <c r="AJ8" s="438" t="s">
        <v>566</v>
      </c>
      <c r="AK8" s="438"/>
      <c r="AL8" s="438" t="s">
        <v>564</v>
      </c>
      <c r="AM8" s="438" t="s">
        <v>565</v>
      </c>
      <c r="AN8" s="438" t="s">
        <v>566</v>
      </c>
      <c r="AO8" s="438" t="s">
        <v>564</v>
      </c>
      <c r="AP8" s="438" t="s">
        <v>565</v>
      </c>
      <c r="AQ8" s="438" t="s">
        <v>566</v>
      </c>
      <c r="AR8" s="438"/>
      <c r="AS8" s="438" t="s">
        <v>564</v>
      </c>
      <c r="AT8" s="438" t="s">
        <v>565</v>
      </c>
      <c r="AU8" s="438" t="s">
        <v>566</v>
      </c>
      <c r="AV8" s="438" t="s">
        <v>564</v>
      </c>
      <c r="AW8" s="438" t="s">
        <v>565</v>
      </c>
      <c r="AX8" s="438" t="s">
        <v>566</v>
      </c>
      <c r="AY8" s="438"/>
      <c r="AZ8" s="438" t="s">
        <v>564</v>
      </c>
      <c r="BA8" s="438" t="s">
        <v>565</v>
      </c>
      <c r="BB8" s="423" t="s">
        <v>566</v>
      </c>
    </row>
    <row r="9" spans="1:54" ht="16.5" thickBot="1" x14ac:dyDescent="0.3">
      <c r="A9" s="719" t="s">
        <v>163</v>
      </c>
      <c r="B9" s="720"/>
      <c r="C9" s="291">
        <f t="shared" ref="C9:I9" si="0">SUM(C11:C23)</f>
        <v>21610</v>
      </c>
      <c r="D9" s="292">
        <f t="shared" si="0"/>
        <v>25932000</v>
      </c>
      <c r="E9" s="292">
        <f t="shared" si="0"/>
        <v>19546</v>
      </c>
      <c r="F9" s="292">
        <f t="shared" si="0"/>
        <v>18124852.609999999</v>
      </c>
      <c r="G9" s="292">
        <f t="shared" si="0"/>
        <v>12.291916096711182</v>
      </c>
      <c r="H9" s="292">
        <f t="shared" si="0"/>
        <v>10.020887506435569</v>
      </c>
      <c r="I9" s="291">
        <f t="shared" si="0"/>
        <v>0</v>
      </c>
      <c r="J9" s="383">
        <f t="shared" ref="J9:Z9" si="1">SUM(J11:J23)</f>
        <v>289237.21699999995</v>
      </c>
      <c r="K9" s="291">
        <f t="shared" si="1"/>
        <v>9148</v>
      </c>
      <c r="L9" s="292">
        <f t="shared" si="1"/>
        <v>10977600</v>
      </c>
      <c r="M9" s="292">
        <f t="shared" si="1"/>
        <v>7463</v>
      </c>
      <c r="N9" s="292">
        <f t="shared" si="1"/>
        <v>7093140.9000000004</v>
      </c>
      <c r="O9" s="436">
        <f>+M9/K9</f>
        <v>0.81580673371228685</v>
      </c>
      <c r="P9" s="437">
        <f>+N9/L9</f>
        <v>0.64614678071709664</v>
      </c>
      <c r="Q9" s="291">
        <f t="shared" si="1"/>
        <v>7122</v>
      </c>
      <c r="R9" s="292">
        <f t="shared" si="1"/>
        <v>8546400</v>
      </c>
      <c r="S9" s="292">
        <f t="shared" si="1"/>
        <v>7418</v>
      </c>
      <c r="T9" s="292">
        <f t="shared" si="1"/>
        <v>6619221.7000000002</v>
      </c>
      <c r="U9" s="436">
        <f>+S9/Q9</f>
        <v>1.0415613591687729</v>
      </c>
      <c r="V9" s="437">
        <f>+T9/R9</f>
        <v>0.77450408359075174</v>
      </c>
      <c r="W9" s="291">
        <f t="shared" si="1"/>
        <v>5340</v>
      </c>
      <c r="X9" s="292">
        <f t="shared" si="1"/>
        <v>6408000</v>
      </c>
      <c r="Y9" s="292">
        <f t="shared" si="1"/>
        <v>4665</v>
      </c>
      <c r="Z9" s="292">
        <f t="shared" si="1"/>
        <v>4412490.01</v>
      </c>
      <c r="AA9" s="436">
        <f>+Y9/W9</f>
        <v>0.8735955056179775</v>
      </c>
      <c r="AB9" s="437">
        <f>+Z9/X9</f>
        <v>0.6885908255305867</v>
      </c>
      <c r="AH9" s="390"/>
      <c r="AI9" s="390"/>
      <c r="AJ9" s="390"/>
      <c r="AK9" s="390"/>
      <c r="AL9" s="390"/>
      <c r="AM9" s="390"/>
      <c r="AN9" s="390"/>
      <c r="AO9" s="390"/>
      <c r="AP9" s="390"/>
      <c r="AQ9" s="390"/>
      <c r="AR9" s="390"/>
      <c r="AS9" s="390"/>
      <c r="AT9" s="390"/>
      <c r="AU9" s="390"/>
      <c r="AV9" s="390"/>
      <c r="AW9" s="390"/>
      <c r="AX9" s="390"/>
      <c r="AY9" s="390"/>
      <c r="AZ9" s="390"/>
      <c r="BA9" s="390"/>
      <c r="BB9" s="390"/>
    </row>
    <row r="10" spans="1:54" ht="15.75" x14ac:dyDescent="0.25">
      <c r="A10" s="296">
        <v>1</v>
      </c>
      <c r="B10" s="358" t="s">
        <v>127</v>
      </c>
      <c r="C10" s="297">
        <f>+K10+Q10+W10</f>
        <v>0</v>
      </c>
      <c r="D10" s="297">
        <f>+L10+R10+X10</f>
        <v>0</v>
      </c>
      <c r="E10" s="297">
        <f>+M10+S10+Y10</f>
        <v>0</v>
      </c>
      <c r="F10" s="297">
        <f>+N10+T10+Z10</f>
        <v>0</v>
      </c>
      <c r="G10" s="298"/>
      <c r="H10" s="298"/>
      <c r="I10" s="384"/>
      <c r="J10" s="385">
        <f>+J31+J52+J73+J94+J115+J137+J159+J181</f>
        <v>0</v>
      </c>
      <c r="K10" s="299"/>
      <c r="L10" s="297"/>
      <c r="M10" s="354">
        <f t="shared" ref="M10:N23" si="2">+M31+M52+M73+M94+M115+M137+M159+M181+M203</f>
        <v>0</v>
      </c>
      <c r="N10" s="354">
        <f t="shared" si="2"/>
        <v>0</v>
      </c>
      <c r="O10" s="298"/>
      <c r="P10" s="298"/>
      <c r="Q10" s="299"/>
      <c r="R10" s="297"/>
      <c r="S10" s="354">
        <f t="shared" ref="S10:T23" si="3">+S31+S52+S73+S94+S115+S137+S159+S181+S203</f>
        <v>0</v>
      </c>
      <c r="T10" s="354">
        <f t="shared" si="3"/>
        <v>0</v>
      </c>
      <c r="U10" s="298"/>
      <c r="V10" s="298"/>
      <c r="W10" s="300"/>
      <c r="X10" s="297"/>
      <c r="Y10" s="354">
        <f t="shared" ref="Y10:Z23" si="4">+Y31+Y52+Y73+Y94+Y115+Y137+Y159+Y181+Y203</f>
        <v>0</v>
      </c>
      <c r="Z10" s="354">
        <f t="shared" si="4"/>
        <v>0</v>
      </c>
      <c r="AA10" s="298"/>
      <c r="AB10" s="301"/>
      <c r="AH10" s="390"/>
      <c r="AI10" s="390"/>
      <c r="AJ10" s="390"/>
      <c r="AK10" s="390"/>
      <c r="AL10" s="390"/>
      <c r="AM10" s="390"/>
      <c r="AN10" s="390"/>
      <c r="AO10" s="390"/>
      <c r="AP10" s="390"/>
      <c r="AQ10" s="390"/>
      <c r="AR10" s="390"/>
      <c r="AS10" s="390"/>
      <c r="AT10" s="390"/>
      <c r="AU10" s="390"/>
      <c r="AV10" s="390"/>
      <c r="AW10" s="390"/>
      <c r="AX10" s="390"/>
      <c r="AY10" s="390"/>
      <c r="AZ10" s="390"/>
      <c r="BA10" s="390"/>
      <c r="BB10" s="390"/>
    </row>
    <row r="11" spans="1:54" ht="15.75" x14ac:dyDescent="0.25">
      <c r="A11" s="296">
        <v>2</v>
      </c>
      <c r="B11" s="358" t="s">
        <v>205</v>
      </c>
      <c r="C11" s="297">
        <f t="shared" ref="C11:C23" si="5">+K11+Q11+W11</f>
        <v>3475</v>
      </c>
      <c r="D11" s="297">
        <f t="shared" ref="D11:D23" si="6">+L11+R11+X11</f>
        <v>4170000</v>
      </c>
      <c r="E11" s="297">
        <f t="shared" ref="E11:E23" si="7">+M11+S11+Y11</f>
        <v>3917</v>
      </c>
      <c r="F11" s="297">
        <f t="shared" ref="F11:F23" si="8">+N11+T11+Z11</f>
        <v>2516460</v>
      </c>
      <c r="G11" s="298">
        <f>+E11/C11</f>
        <v>1.1271942446043166</v>
      </c>
      <c r="H11" s="298">
        <f>+F11/D11</f>
        <v>0.6034676258992806</v>
      </c>
      <c r="I11" s="384"/>
      <c r="J11" s="385">
        <f t="shared" ref="J11:J23" si="9">+J32+J53+J74+J95+J116+J138+J160+J182</f>
        <v>0</v>
      </c>
      <c r="K11" s="299">
        <v>1392</v>
      </c>
      <c r="L11" s="297">
        <v>1670400</v>
      </c>
      <c r="M11" s="354">
        <f t="shared" si="2"/>
        <v>766</v>
      </c>
      <c r="N11" s="354">
        <f t="shared" si="2"/>
        <v>496680</v>
      </c>
      <c r="O11" s="298">
        <f>+M11/K11</f>
        <v>0.55028735632183912</v>
      </c>
      <c r="P11" s="298">
        <f>+N11/L11</f>
        <v>0.29734195402298852</v>
      </c>
      <c r="Q11" s="299">
        <v>1363</v>
      </c>
      <c r="R11" s="297">
        <v>1635600</v>
      </c>
      <c r="S11" s="354">
        <f t="shared" si="3"/>
        <v>2428</v>
      </c>
      <c r="T11" s="354">
        <f t="shared" si="3"/>
        <v>1585980</v>
      </c>
      <c r="U11" s="298">
        <f>+S11/Q11</f>
        <v>1.7813646368305209</v>
      </c>
      <c r="V11" s="298">
        <f>+T11/R11</f>
        <v>0.96966250917094643</v>
      </c>
      <c r="W11" s="300">
        <v>720</v>
      </c>
      <c r="X11" s="297">
        <v>864000</v>
      </c>
      <c r="Y11" s="354">
        <f t="shared" si="4"/>
        <v>723</v>
      </c>
      <c r="Z11" s="354">
        <f t="shared" si="4"/>
        <v>433800</v>
      </c>
      <c r="AA11" s="298">
        <f>+Y11/W11</f>
        <v>1.0041666666666667</v>
      </c>
      <c r="AB11" s="301">
        <f>+Z11/X11</f>
        <v>0.50208333333333333</v>
      </c>
      <c r="AC11" s="430">
        <f>F11/E11</f>
        <v>642.44574929793214</v>
      </c>
      <c r="AH11" s="390"/>
      <c r="AI11" s="390"/>
      <c r="AJ11" s="390"/>
      <c r="AK11" s="390"/>
      <c r="AL11" s="390"/>
      <c r="AM11" s="390"/>
      <c r="AN11" s="390"/>
      <c r="AO11" s="390"/>
      <c r="AP11" s="390"/>
      <c r="AQ11" s="390"/>
      <c r="AR11" s="390"/>
      <c r="AS11" s="390"/>
      <c r="AT11" s="390"/>
      <c r="AU11" s="390"/>
      <c r="AV11" s="390"/>
      <c r="AW11" s="390"/>
      <c r="AX11" s="390"/>
      <c r="AY11" s="390"/>
      <c r="AZ11" s="390"/>
      <c r="BA11" s="390"/>
      <c r="BB11" s="390"/>
    </row>
    <row r="12" spans="1:54" ht="15.75" x14ac:dyDescent="0.25">
      <c r="A12" s="296">
        <v>3</v>
      </c>
      <c r="B12" s="359" t="s">
        <v>147</v>
      </c>
      <c r="C12" s="304">
        <f t="shared" si="5"/>
        <v>1031</v>
      </c>
      <c r="D12" s="304">
        <f t="shared" si="6"/>
        <v>1237200</v>
      </c>
      <c r="E12" s="304">
        <f t="shared" si="7"/>
        <v>1032</v>
      </c>
      <c r="F12" s="304">
        <f t="shared" si="8"/>
        <v>1308120</v>
      </c>
      <c r="G12" s="305">
        <f t="shared" ref="G12:G23" si="10">+E12/C12</f>
        <v>1.0009699321047527</v>
      </c>
      <c r="H12" s="305">
        <f t="shared" ref="H12:H23" si="11">+F12/D12</f>
        <v>1.0573229873908827</v>
      </c>
      <c r="I12" s="386"/>
      <c r="J12" s="385">
        <f t="shared" si="9"/>
        <v>12600</v>
      </c>
      <c r="K12" s="306">
        <v>424</v>
      </c>
      <c r="L12" s="304">
        <v>508800</v>
      </c>
      <c r="M12" s="354">
        <f t="shared" si="2"/>
        <v>411</v>
      </c>
      <c r="N12" s="354">
        <f t="shared" si="2"/>
        <v>521760</v>
      </c>
      <c r="O12" s="305">
        <f t="shared" ref="O12:O23" si="12">+M12/K12</f>
        <v>0.96933962264150941</v>
      </c>
      <c r="P12" s="305">
        <f t="shared" ref="P12:P23" si="13">+N12/L12</f>
        <v>1.0254716981132075</v>
      </c>
      <c r="Q12" s="306">
        <v>321</v>
      </c>
      <c r="R12" s="304">
        <v>385200</v>
      </c>
      <c r="S12" s="354">
        <f t="shared" si="3"/>
        <v>327</v>
      </c>
      <c r="T12" s="354">
        <f t="shared" si="3"/>
        <v>416520</v>
      </c>
      <c r="U12" s="305">
        <f t="shared" ref="U12:U23" si="14">+S12/Q12</f>
        <v>1.0186915887850467</v>
      </c>
      <c r="V12" s="305">
        <f t="shared" ref="V12:V23" si="15">+T12/R12</f>
        <v>1.0813084112149534</v>
      </c>
      <c r="W12" s="307">
        <v>286</v>
      </c>
      <c r="X12" s="304">
        <v>343200</v>
      </c>
      <c r="Y12" s="354">
        <f t="shared" si="4"/>
        <v>294</v>
      </c>
      <c r="Z12" s="354">
        <f t="shared" si="4"/>
        <v>369840</v>
      </c>
      <c r="AA12" s="305">
        <f t="shared" ref="AA12:AA23" si="16">+Y12/W12</f>
        <v>1.0279720279720279</v>
      </c>
      <c r="AB12" s="308">
        <f t="shared" ref="AB12:AB23" si="17">+Z12/X12</f>
        <v>1.0776223776223777</v>
      </c>
      <c r="AC12" s="430">
        <f t="shared" ref="AC12:AC23" si="18">F12/E12</f>
        <v>1267.5581395348838</v>
      </c>
      <c r="AH12" s="390"/>
      <c r="AI12" s="390"/>
      <c r="AJ12" s="390"/>
      <c r="AK12" s="390"/>
      <c r="AL12" s="390"/>
      <c r="AM12" s="390"/>
      <c r="AN12" s="390"/>
      <c r="AO12" s="390"/>
      <c r="AP12" s="390"/>
      <c r="AQ12" s="390"/>
      <c r="AR12" s="390"/>
      <c r="AS12" s="390"/>
      <c r="AT12" s="390"/>
      <c r="AU12" s="390"/>
      <c r="AV12" s="390"/>
      <c r="AW12" s="390"/>
      <c r="AX12" s="390"/>
      <c r="AY12" s="390"/>
      <c r="AZ12" s="390"/>
      <c r="BA12" s="390"/>
      <c r="BB12" s="390"/>
    </row>
    <row r="13" spans="1:54" ht="15.75" x14ac:dyDescent="0.25">
      <c r="A13" s="296">
        <v>4</v>
      </c>
      <c r="B13" s="359" t="s">
        <v>148</v>
      </c>
      <c r="C13" s="304">
        <f t="shared" si="5"/>
        <v>945</v>
      </c>
      <c r="D13" s="304">
        <f t="shared" si="6"/>
        <v>1134000</v>
      </c>
      <c r="E13" s="304">
        <f t="shared" si="7"/>
        <v>943</v>
      </c>
      <c r="F13" s="304">
        <f t="shared" si="8"/>
        <v>1175640</v>
      </c>
      <c r="G13" s="305">
        <f t="shared" si="10"/>
        <v>0.99788359788359793</v>
      </c>
      <c r="H13" s="305">
        <f t="shared" si="11"/>
        <v>1.0367195767195767</v>
      </c>
      <c r="I13" s="386"/>
      <c r="J13" s="385">
        <f t="shared" si="9"/>
        <v>15950</v>
      </c>
      <c r="K13" s="306">
        <v>385</v>
      </c>
      <c r="L13" s="304">
        <v>462000</v>
      </c>
      <c r="M13" s="354">
        <f t="shared" si="2"/>
        <v>383</v>
      </c>
      <c r="N13" s="354">
        <f t="shared" si="2"/>
        <v>486600</v>
      </c>
      <c r="O13" s="305">
        <f t="shared" si="12"/>
        <v>0.9948051948051948</v>
      </c>
      <c r="P13" s="305">
        <f t="shared" si="13"/>
        <v>1.0532467532467533</v>
      </c>
      <c r="Q13" s="306">
        <v>261</v>
      </c>
      <c r="R13" s="304">
        <v>313200</v>
      </c>
      <c r="S13" s="354">
        <f t="shared" si="3"/>
        <v>349</v>
      </c>
      <c r="T13" s="354">
        <f t="shared" si="3"/>
        <v>429360</v>
      </c>
      <c r="U13" s="305">
        <f t="shared" si="14"/>
        <v>1.3371647509578544</v>
      </c>
      <c r="V13" s="305">
        <f t="shared" si="15"/>
        <v>1.3708812260536398</v>
      </c>
      <c r="W13" s="307">
        <v>299</v>
      </c>
      <c r="X13" s="304">
        <v>358800</v>
      </c>
      <c r="Y13" s="354">
        <f t="shared" si="4"/>
        <v>211</v>
      </c>
      <c r="Z13" s="354">
        <f t="shared" si="4"/>
        <v>259680</v>
      </c>
      <c r="AA13" s="305">
        <f t="shared" si="16"/>
        <v>0.70568561872909696</v>
      </c>
      <c r="AB13" s="308">
        <f t="shared" si="17"/>
        <v>0.72374581939799332</v>
      </c>
      <c r="AC13" s="430">
        <f t="shared" si="18"/>
        <v>1246.7020148462354</v>
      </c>
      <c r="AH13" s="390"/>
      <c r="AI13" s="390"/>
      <c r="AJ13" s="390"/>
      <c r="AK13" s="390"/>
      <c r="AL13" s="390"/>
      <c r="AM13" s="390"/>
      <c r="AN13" s="390"/>
      <c r="AO13" s="390"/>
      <c r="AP13" s="390"/>
      <c r="AQ13" s="390"/>
      <c r="AR13" s="390"/>
      <c r="AS13" s="390"/>
      <c r="AT13" s="390"/>
      <c r="AU13" s="390"/>
      <c r="AV13" s="390"/>
      <c r="AW13" s="390"/>
      <c r="AX13" s="390"/>
      <c r="AY13" s="390"/>
      <c r="AZ13" s="390"/>
      <c r="BA13" s="390"/>
      <c r="BB13" s="390"/>
    </row>
    <row r="14" spans="1:54" ht="15.75" x14ac:dyDescent="0.25">
      <c r="A14" s="296">
        <v>5</v>
      </c>
      <c r="B14" s="360" t="s">
        <v>206</v>
      </c>
      <c r="C14" s="304">
        <f t="shared" si="5"/>
        <v>2002</v>
      </c>
      <c r="D14" s="304">
        <f t="shared" si="6"/>
        <v>2402400</v>
      </c>
      <c r="E14" s="304">
        <f t="shared" si="7"/>
        <v>1286</v>
      </c>
      <c r="F14" s="304">
        <f t="shared" si="8"/>
        <v>1417560</v>
      </c>
      <c r="G14" s="305">
        <f t="shared" si="10"/>
        <v>0.64235764235764237</v>
      </c>
      <c r="H14" s="305">
        <f t="shared" si="11"/>
        <v>0.59005994005994011</v>
      </c>
      <c r="I14" s="386"/>
      <c r="J14" s="385">
        <f t="shared" si="9"/>
        <v>19981.400000000001</v>
      </c>
      <c r="K14" s="306">
        <v>813</v>
      </c>
      <c r="L14" s="304">
        <v>975600</v>
      </c>
      <c r="M14" s="354">
        <f t="shared" si="2"/>
        <v>536</v>
      </c>
      <c r="N14" s="354">
        <f t="shared" si="2"/>
        <v>539160</v>
      </c>
      <c r="O14" s="305">
        <f t="shared" si="12"/>
        <v>0.65928659286592861</v>
      </c>
      <c r="P14" s="305">
        <f t="shared" si="13"/>
        <v>0.55264452644526441</v>
      </c>
      <c r="Q14" s="306">
        <v>702</v>
      </c>
      <c r="R14" s="304">
        <v>842400</v>
      </c>
      <c r="S14" s="354">
        <f t="shared" si="3"/>
        <v>362</v>
      </c>
      <c r="T14" s="354">
        <f t="shared" si="3"/>
        <v>418320</v>
      </c>
      <c r="U14" s="305">
        <f t="shared" si="14"/>
        <v>0.51566951566951569</v>
      </c>
      <c r="V14" s="305">
        <f t="shared" si="15"/>
        <v>0.49658119658119659</v>
      </c>
      <c r="W14" s="307">
        <v>487</v>
      </c>
      <c r="X14" s="304">
        <v>584400</v>
      </c>
      <c r="Y14" s="354">
        <f t="shared" si="4"/>
        <v>388</v>
      </c>
      <c r="Z14" s="354">
        <f t="shared" si="4"/>
        <v>460080</v>
      </c>
      <c r="AA14" s="305">
        <f t="shared" si="16"/>
        <v>0.79671457905544152</v>
      </c>
      <c r="AB14" s="308">
        <f t="shared" si="17"/>
        <v>0.78726899383983573</v>
      </c>
      <c r="AC14" s="430">
        <f t="shared" si="18"/>
        <v>1102.3017107309486</v>
      </c>
      <c r="AH14" s="390"/>
      <c r="AI14" s="390"/>
      <c r="AJ14" s="390"/>
      <c r="AK14" s="390"/>
      <c r="AL14" s="390"/>
      <c r="AM14" s="390"/>
      <c r="AN14" s="390"/>
      <c r="AO14" s="390"/>
      <c r="AP14" s="390"/>
      <c r="AQ14" s="390"/>
      <c r="AR14" s="390"/>
      <c r="AS14" s="390"/>
      <c r="AT14" s="390"/>
      <c r="AU14" s="390"/>
      <c r="AV14" s="390"/>
      <c r="AW14" s="390"/>
      <c r="AX14" s="390"/>
      <c r="AY14" s="390"/>
      <c r="AZ14" s="390"/>
      <c r="BA14" s="390"/>
      <c r="BB14" s="390"/>
    </row>
    <row r="15" spans="1:54" ht="15.75" x14ac:dyDescent="0.25">
      <c r="A15" s="296">
        <v>6</v>
      </c>
      <c r="B15" s="359" t="s">
        <v>174</v>
      </c>
      <c r="C15" s="304">
        <f t="shared" si="5"/>
        <v>2167</v>
      </c>
      <c r="D15" s="304">
        <f t="shared" si="6"/>
        <v>2600400</v>
      </c>
      <c r="E15" s="304">
        <f t="shared" si="7"/>
        <v>1221</v>
      </c>
      <c r="F15" s="304">
        <f t="shared" si="8"/>
        <v>1554240</v>
      </c>
      <c r="G15" s="305">
        <f t="shared" si="10"/>
        <v>0.56345177664974622</v>
      </c>
      <c r="H15" s="305">
        <f t="shared" si="11"/>
        <v>0.59769266266728194</v>
      </c>
      <c r="I15" s="386"/>
      <c r="J15" s="385">
        <f t="shared" si="9"/>
        <v>0</v>
      </c>
      <c r="K15" s="306">
        <v>898</v>
      </c>
      <c r="L15" s="304">
        <v>1077600</v>
      </c>
      <c r="M15" s="354">
        <f t="shared" si="2"/>
        <v>499</v>
      </c>
      <c r="N15" s="354">
        <f t="shared" si="2"/>
        <v>635420</v>
      </c>
      <c r="O15" s="305">
        <f t="shared" si="12"/>
        <v>0.5556792873051225</v>
      </c>
      <c r="P15" s="305">
        <f t="shared" si="13"/>
        <v>0.58966221232368221</v>
      </c>
      <c r="Q15" s="306">
        <v>657</v>
      </c>
      <c r="R15" s="304">
        <v>788400</v>
      </c>
      <c r="S15" s="354">
        <f t="shared" si="3"/>
        <v>431</v>
      </c>
      <c r="T15" s="354">
        <f t="shared" si="3"/>
        <v>545680</v>
      </c>
      <c r="U15" s="305">
        <f t="shared" si="14"/>
        <v>0.65601217656012178</v>
      </c>
      <c r="V15" s="305">
        <f t="shared" si="15"/>
        <v>0.69213597158802642</v>
      </c>
      <c r="W15" s="307">
        <v>612</v>
      </c>
      <c r="X15" s="304">
        <v>734400</v>
      </c>
      <c r="Y15" s="354">
        <f t="shared" si="4"/>
        <v>291</v>
      </c>
      <c r="Z15" s="354">
        <f t="shared" si="4"/>
        <v>373140</v>
      </c>
      <c r="AA15" s="305">
        <f t="shared" si="16"/>
        <v>0.47549019607843135</v>
      </c>
      <c r="AB15" s="308">
        <f t="shared" si="17"/>
        <v>0.50808823529411762</v>
      </c>
      <c r="AC15" s="430">
        <f t="shared" si="18"/>
        <v>1272.9238329238328</v>
      </c>
      <c r="AH15" s="390"/>
      <c r="AI15" s="390"/>
      <c r="AJ15" s="390"/>
      <c r="AK15" s="390"/>
      <c r="AL15" s="390"/>
      <c r="AM15" s="390"/>
      <c r="AN15" s="390"/>
      <c r="AO15" s="390"/>
      <c r="AP15" s="390"/>
      <c r="AQ15" s="390"/>
      <c r="AR15" s="390"/>
      <c r="AS15" s="390"/>
      <c r="AT15" s="390"/>
      <c r="AU15" s="390"/>
      <c r="AV15" s="390"/>
      <c r="AW15" s="390"/>
      <c r="AX15" s="390"/>
      <c r="AY15" s="390"/>
      <c r="AZ15" s="390"/>
      <c r="BA15" s="390"/>
      <c r="BB15" s="390"/>
    </row>
    <row r="16" spans="1:54" ht="15.75" x14ac:dyDescent="0.25">
      <c r="A16" s="296">
        <v>7</v>
      </c>
      <c r="B16" s="360" t="s">
        <v>151</v>
      </c>
      <c r="C16" s="304">
        <f t="shared" si="5"/>
        <v>3043</v>
      </c>
      <c r="D16" s="304">
        <f t="shared" si="6"/>
        <v>3651600</v>
      </c>
      <c r="E16" s="304">
        <f t="shared" si="7"/>
        <v>1714</v>
      </c>
      <c r="F16" s="304">
        <f t="shared" si="8"/>
        <v>1445400</v>
      </c>
      <c r="G16" s="305">
        <f t="shared" si="10"/>
        <v>0.56325994084784747</v>
      </c>
      <c r="H16" s="305">
        <f t="shared" si="11"/>
        <v>0.39582648701938877</v>
      </c>
      <c r="I16" s="386"/>
      <c r="J16" s="385">
        <f t="shared" si="9"/>
        <v>0</v>
      </c>
      <c r="K16" s="306">
        <v>1268</v>
      </c>
      <c r="L16" s="304">
        <v>1521600</v>
      </c>
      <c r="M16" s="354">
        <f t="shared" si="2"/>
        <v>693</v>
      </c>
      <c r="N16" s="354">
        <f t="shared" si="2"/>
        <v>547020</v>
      </c>
      <c r="O16" s="305">
        <f t="shared" si="12"/>
        <v>0.54652996845425872</v>
      </c>
      <c r="P16" s="305">
        <f t="shared" si="13"/>
        <v>0.35950315457413251</v>
      </c>
      <c r="Q16" s="306">
        <v>1057</v>
      </c>
      <c r="R16" s="304">
        <v>1268400</v>
      </c>
      <c r="S16" s="354">
        <f t="shared" si="3"/>
        <v>645</v>
      </c>
      <c r="T16" s="354">
        <f t="shared" si="3"/>
        <v>547380</v>
      </c>
      <c r="U16" s="305">
        <f t="shared" si="14"/>
        <v>0.61021759697256384</v>
      </c>
      <c r="V16" s="305">
        <f t="shared" si="15"/>
        <v>0.43155156102175968</v>
      </c>
      <c r="W16" s="307">
        <v>718</v>
      </c>
      <c r="X16" s="304">
        <v>861600</v>
      </c>
      <c r="Y16" s="354">
        <f t="shared" si="4"/>
        <v>376</v>
      </c>
      <c r="Z16" s="354">
        <f t="shared" si="4"/>
        <v>351000</v>
      </c>
      <c r="AA16" s="305">
        <f t="shared" si="16"/>
        <v>0.5236768802228412</v>
      </c>
      <c r="AB16" s="308">
        <f t="shared" si="17"/>
        <v>0.4073816155988858</v>
      </c>
      <c r="AC16" s="430">
        <f t="shared" si="18"/>
        <v>843.29054842473749</v>
      </c>
      <c r="AH16" s="390"/>
      <c r="AI16" s="390"/>
      <c r="AJ16" s="390"/>
      <c r="AK16" s="390"/>
      <c r="AL16" s="390"/>
      <c r="AM16" s="390"/>
      <c r="AN16" s="390"/>
      <c r="AO16" s="390"/>
      <c r="AP16" s="390"/>
      <c r="AQ16" s="390"/>
      <c r="AR16" s="390"/>
      <c r="AS16" s="390"/>
      <c r="AT16" s="390"/>
      <c r="AU16" s="390"/>
      <c r="AV16" s="390"/>
      <c r="AW16" s="390"/>
      <c r="AX16" s="390"/>
      <c r="AY16" s="390"/>
      <c r="AZ16" s="390"/>
      <c r="BA16" s="390"/>
      <c r="BB16" s="390"/>
    </row>
    <row r="17" spans="1:54" ht="15.75" x14ac:dyDescent="0.25">
      <c r="A17" s="296">
        <v>8</v>
      </c>
      <c r="B17" s="360" t="s">
        <v>207</v>
      </c>
      <c r="C17" s="304">
        <f t="shared" si="5"/>
        <v>2235</v>
      </c>
      <c r="D17" s="304">
        <f t="shared" si="6"/>
        <v>2682000</v>
      </c>
      <c r="E17" s="304">
        <f t="shared" si="7"/>
        <v>2119</v>
      </c>
      <c r="F17" s="304">
        <f t="shared" si="8"/>
        <v>1983480</v>
      </c>
      <c r="G17" s="305">
        <f t="shared" si="10"/>
        <v>0.94809843400447424</v>
      </c>
      <c r="H17" s="305">
        <f t="shared" si="11"/>
        <v>0.73955257270693509</v>
      </c>
      <c r="I17" s="386"/>
      <c r="J17" s="385">
        <f t="shared" si="9"/>
        <v>3000</v>
      </c>
      <c r="K17" s="306">
        <v>873</v>
      </c>
      <c r="L17" s="304">
        <v>1047600</v>
      </c>
      <c r="M17" s="354">
        <f t="shared" si="2"/>
        <v>749</v>
      </c>
      <c r="N17" s="354">
        <f t="shared" si="2"/>
        <v>719400</v>
      </c>
      <c r="O17" s="305">
        <f t="shared" si="12"/>
        <v>0.85796105383734245</v>
      </c>
      <c r="P17" s="305">
        <f t="shared" si="13"/>
        <v>0.68671248568155785</v>
      </c>
      <c r="Q17" s="306">
        <v>732</v>
      </c>
      <c r="R17" s="304">
        <v>878400</v>
      </c>
      <c r="S17" s="354">
        <f t="shared" si="3"/>
        <v>700</v>
      </c>
      <c r="T17" s="354">
        <f t="shared" si="3"/>
        <v>657360</v>
      </c>
      <c r="U17" s="305">
        <f t="shared" si="14"/>
        <v>0.95628415300546443</v>
      </c>
      <c r="V17" s="305">
        <f t="shared" si="15"/>
        <v>0.74836065573770494</v>
      </c>
      <c r="W17" s="307">
        <v>630</v>
      </c>
      <c r="X17" s="304">
        <v>756000</v>
      </c>
      <c r="Y17" s="354">
        <f t="shared" si="4"/>
        <v>670</v>
      </c>
      <c r="Z17" s="354">
        <f t="shared" si="4"/>
        <v>606720</v>
      </c>
      <c r="AA17" s="305">
        <f t="shared" si="16"/>
        <v>1.0634920634920635</v>
      </c>
      <c r="AB17" s="308">
        <f t="shared" si="17"/>
        <v>0.80253968253968255</v>
      </c>
      <c r="AC17" s="430">
        <f t="shared" si="18"/>
        <v>936.04530438886263</v>
      </c>
      <c r="AH17" s="425"/>
      <c r="AI17" s="425"/>
      <c r="AJ17" s="425"/>
      <c r="AK17" s="425"/>
      <c r="AL17" s="425"/>
      <c r="AM17" s="425"/>
      <c r="AN17" s="425"/>
      <c r="AO17" s="425"/>
      <c r="AP17" s="425"/>
      <c r="AQ17" s="425"/>
      <c r="AR17" s="425"/>
      <c r="AS17" s="425"/>
      <c r="AT17" s="425"/>
      <c r="AU17" s="425"/>
      <c r="AV17" s="427"/>
      <c r="AW17" s="427"/>
      <c r="AX17" s="427"/>
      <c r="AY17" s="427"/>
      <c r="AZ17" s="427"/>
      <c r="BA17" s="427"/>
      <c r="BB17" s="427"/>
    </row>
    <row r="18" spans="1:54" ht="15.75" x14ac:dyDescent="0.25">
      <c r="A18" s="296">
        <v>9</v>
      </c>
      <c r="B18" s="360" t="s">
        <v>153</v>
      </c>
      <c r="C18" s="304">
        <f t="shared" si="5"/>
        <v>1160</v>
      </c>
      <c r="D18" s="304">
        <f t="shared" si="6"/>
        <v>1392000</v>
      </c>
      <c r="E18" s="304">
        <f t="shared" si="7"/>
        <v>905</v>
      </c>
      <c r="F18" s="304">
        <f t="shared" si="8"/>
        <v>1130380</v>
      </c>
      <c r="G18" s="305">
        <f t="shared" si="10"/>
        <v>0.78017241379310343</v>
      </c>
      <c r="H18" s="305">
        <f t="shared" si="11"/>
        <v>0.81205459770114941</v>
      </c>
      <c r="I18" s="386"/>
      <c r="J18" s="385">
        <f t="shared" si="9"/>
        <v>92102</v>
      </c>
      <c r="K18" s="306">
        <v>589</v>
      </c>
      <c r="L18" s="304">
        <v>706800</v>
      </c>
      <c r="M18" s="354">
        <f t="shared" si="2"/>
        <v>448</v>
      </c>
      <c r="N18" s="354">
        <f t="shared" si="2"/>
        <v>564200</v>
      </c>
      <c r="O18" s="305">
        <f t="shared" si="12"/>
        <v>0.76061120543293714</v>
      </c>
      <c r="P18" s="305">
        <f t="shared" si="13"/>
        <v>0.79824561403508776</v>
      </c>
      <c r="Q18" s="306">
        <v>348</v>
      </c>
      <c r="R18" s="304">
        <v>417600</v>
      </c>
      <c r="S18" s="354">
        <f t="shared" si="3"/>
        <v>268</v>
      </c>
      <c r="T18" s="354">
        <f t="shared" si="3"/>
        <v>330600</v>
      </c>
      <c r="U18" s="305">
        <f t="shared" si="14"/>
        <v>0.77011494252873558</v>
      </c>
      <c r="V18" s="305">
        <f t="shared" si="15"/>
        <v>0.79166666666666663</v>
      </c>
      <c r="W18" s="307">
        <v>223</v>
      </c>
      <c r="X18" s="304">
        <v>267600</v>
      </c>
      <c r="Y18" s="354">
        <f t="shared" si="4"/>
        <v>189</v>
      </c>
      <c r="Z18" s="354">
        <f t="shared" si="4"/>
        <v>235580</v>
      </c>
      <c r="AA18" s="305">
        <f t="shared" si="16"/>
        <v>0.84753363228699552</v>
      </c>
      <c r="AB18" s="308">
        <f t="shared" si="17"/>
        <v>0.88034379671150975</v>
      </c>
      <c r="AC18" s="430">
        <f t="shared" si="18"/>
        <v>1249.0386740331492</v>
      </c>
      <c r="AH18" s="390"/>
      <c r="AI18" s="390"/>
      <c r="AJ18" s="390"/>
      <c r="AK18" s="390"/>
      <c r="AL18" s="390"/>
      <c r="AM18" s="390"/>
      <c r="AN18" s="390"/>
      <c r="AO18" s="390"/>
      <c r="AP18" s="390"/>
      <c r="AQ18" s="390"/>
      <c r="AR18" s="390"/>
      <c r="AS18" s="390"/>
      <c r="AT18" s="390"/>
      <c r="AU18" s="390"/>
      <c r="AV18" s="390"/>
      <c r="AW18" s="390"/>
      <c r="AX18" s="390"/>
      <c r="AY18" s="390"/>
      <c r="AZ18" s="390"/>
      <c r="BA18" s="390"/>
      <c r="BB18" s="390"/>
    </row>
    <row r="19" spans="1:54" ht="15.75" x14ac:dyDescent="0.25">
      <c r="A19" s="296">
        <v>10</v>
      </c>
      <c r="B19" s="360" t="s">
        <v>154</v>
      </c>
      <c r="C19" s="304">
        <f t="shared" si="5"/>
        <v>950</v>
      </c>
      <c r="D19" s="304">
        <f t="shared" si="6"/>
        <v>1140000</v>
      </c>
      <c r="E19" s="304">
        <f t="shared" si="7"/>
        <v>1024</v>
      </c>
      <c r="F19" s="304">
        <f t="shared" si="8"/>
        <v>1091821.7000000002</v>
      </c>
      <c r="G19" s="305">
        <f t="shared" si="10"/>
        <v>1.0778947368421052</v>
      </c>
      <c r="H19" s="305">
        <f t="shared" si="11"/>
        <v>0.95773833333333347</v>
      </c>
      <c r="I19" s="386"/>
      <c r="J19" s="385">
        <f t="shared" si="9"/>
        <v>33735.9</v>
      </c>
      <c r="K19" s="306">
        <v>384</v>
      </c>
      <c r="L19" s="304">
        <v>460800</v>
      </c>
      <c r="M19" s="354">
        <f t="shared" si="2"/>
        <v>419</v>
      </c>
      <c r="N19" s="354">
        <f t="shared" si="2"/>
        <v>436180.9</v>
      </c>
      <c r="O19" s="305">
        <f t="shared" si="12"/>
        <v>1.0911458333333333</v>
      </c>
      <c r="P19" s="305">
        <f t="shared" si="13"/>
        <v>0.94657313368055562</v>
      </c>
      <c r="Q19" s="306">
        <v>310</v>
      </c>
      <c r="R19" s="304">
        <v>372000</v>
      </c>
      <c r="S19" s="354">
        <f t="shared" si="3"/>
        <v>333</v>
      </c>
      <c r="T19" s="354">
        <f t="shared" si="3"/>
        <v>361101.7</v>
      </c>
      <c r="U19" s="305">
        <f t="shared" si="14"/>
        <v>1.0741935483870968</v>
      </c>
      <c r="V19" s="305">
        <f t="shared" si="15"/>
        <v>0.9707034946236559</v>
      </c>
      <c r="W19" s="307">
        <v>256</v>
      </c>
      <c r="X19" s="304">
        <v>307200</v>
      </c>
      <c r="Y19" s="354">
        <f t="shared" si="4"/>
        <v>272</v>
      </c>
      <c r="Z19" s="354">
        <f t="shared" si="4"/>
        <v>294539.09999999998</v>
      </c>
      <c r="AA19" s="305">
        <f t="shared" si="16"/>
        <v>1.0625</v>
      </c>
      <c r="AB19" s="308">
        <f t="shared" si="17"/>
        <v>0.95878613281249991</v>
      </c>
      <c r="AC19" s="430">
        <f t="shared" si="18"/>
        <v>1066.2321289062502</v>
      </c>
      <c r="AH19" s="390"/>
      <c r="AI19" s="390"/>
      <c r="AJ19" s="390"/>
      <c r="AK19" s="390"/>
      <c r="AL19" s="390"/>
      <c r="AM19" s="390"/>
      <c r="AN19" s="390"/>
      <c r="AO19" s="390"/>
      <c r="AP19" s="390"/>
      <c r="AQ19" s="390"/>
      <c r="AR19" s="390"/>
      <c r="AS19" s="390"/>
      <c r="AT19" s="390"/>
      <c r="AU19" s="390"/>
      <c r="AV19" s="390"/>
      <c r="AW19" s="390"/>
      <c r="AX19" s="390"/>
      <c r="AY19" s="390"/>
      <c r="AZ19" s="390"/>
      <c r="BA19" s="390"/>
      <c r="BB19" s="390"/>
    </row>
    <row r="20" spans="1:54" ht="15.75" x14ac:dyDescent="0.25">
      <c r="A20" s="296">
        <v>11</v>
      </c>
      <c r="B20" s="360" t="s">
        <v>15</v>
      </c>
      <c r="C20" s="304">
        <f t="shared" si="5"/>
        <v>987</v>
      </c>
      <c r="D20" s="304">
        <f t="shared" si="6"/>
        <v>1184400</v>
      </c>
      <c r="E20" s="304">
        <f t="shared" si="7"/>
        <v>614</v>
      </c>
      <c r="F20" s="304">
        <f t="shared" si="8"/>
        <v>750730.91</v>
      </c>
      <c r="G20" s="305">
        <f t="shared" si="10"/>
        <v>0.62208713272543059</v>
      </c>
      <c r="H20" s="305">
        <f t="shared" si="11"/>
        <v>0.63384913036136448</v>
      </c>
      <c r="I20" s="386"/>
      <c r="J20" s="385">
        <f t="shared" si="9"/>
        <v>6847.9170000000004</v>
      </c>
      <c r="K20" s="306">
        <v>417</v>
      </c>
      <c r="L20" s="304">
        <v>500400</v>
      </c>
      <c r="M20" s="354">
        <f t="shared" si="2"/>
        <v>287</v>
      </c>
      <c r="N20" s="354">
        <f t="shared" si="2"/>
        <v>359400</v>
      </c>
      <c r="O20" s="305">
        <f t="shared" si="12"/>
        <v>0.68824940047961636</v>
      </c>
      <c r="P20" s="305">
        <f t="shared" si="13"/>
        <v>0.71822541966426856</v>
      </c>
      <c r="Q20" s="306">
        <v>309</v>
      </c>
      <c r="R20" s="304">
        <v>370800</v>
      </c>
      <c r="S20" s="354">
        <f t="shared" si="3"/>
        <v>185</v>
      </c>
      <c r="T20" s="354">
        <f t="shared" si="3"/>
        <v>227640</v>
      </c>
      <c r="U20" s="305">
        <f t="shared" si="14"/>
        <v>0.59870550161812297</v>
      </c>
      <c r="V20" s="305">
        <f t="shared" si="15"/>
        <v>0.61391585760517797</v>
      </c>
      <c r="W20" s="307">
        <v>261</v>
      </c>
      <c r="X20" s="304">
        <v>313200</v>
      </c>
      <c r="Y20" s="354">
        <f t="shared" si="4"/>
        <v>142</v>
      </c>
      <c r="Z20" s="354">
        <f t="shared" si="4"/>
        <v>163690.91</v>
      </c>
      <c r="AA20" s="305">
        <f t="shared" si="16"/>
        <v>0.54406130268199238</v>
      </c>
      <c r="AB20" s="308">
        <f t="shared" si="17"/>
        <v>0.52264019795657723</v>
      </c>
      <c r="AC20" s="430">
        <f t="shared" si="18"/>
        <v>1222.6887785016288</v>
      </c>
      <c r="AH20" s="390"/>
      <c r="AI20" s="390"/>
      <c r="AJ20" s="390"/>
      <c r="AK20" s="390"/>
      <c r="AL20" s="390"/>
      <c r="AM20" s="390"/>
      <c r="AN20" s="390"/>
      <c r="AO20" s="390"/>
      <c r="AP20" s="390"/>
      <c r="AQ20" s="390"/>
      <c r="AR20" s="390"/>
      <c r="AS20" s="390"/>
      <c r="AT20" s="390"/>
      <c r="AU20" s="390"/>
      <c r="AV20" s="390"/>
      <c r="AW20" s="390"/>
      <c r="AX20" s="390"/>
      <c r="AY20" s="390"/>
      <c r="AZ20" s="390"/>
      <c r="BA20" s="390"/>
      <c r="BB20" s="390"/>
    </row>
    <row r="21" spans="1:54" ht="15.75" x14ac:dyDescent="0.25">
      <c r="A21" s="296">
        <v>12</v>
      </c>
      <c r="B21" s="360" t="s">
        <v>155</v>
      </c>
      <c r="C21" s="304">
        <f t="shared" si="5"/>
        <v>1183</v>
      </c>
      <c r="D21" s="304">
        <f t="shared" si="6"/>
        <v>1419600</v>
      </c>
      <c r="E21" s="304">
        <f t="shared" si="7"/>
        <v>1477</v>
      </c>
      <c r="F21" s="304">
        <f t="shared" si="8"/>
        <v>1444380</v>
      </c>
      <c r="G21" s="305">
        <f t="shared" si="10"/>
        <v>1.2485207100591715</v>
      </c>
      <c r="H21" s="305">
        <f t="shared" si="11"/>
        <v>1.0174556213017751</v>
      </c>
      <c r="I21" s="386"/>
      <c r="J21" s="385">
        <f t="shared" si="9"/>
        <v>9041</v>
      </c>
      <c r="K21" s="306">
        <v>511</v>
      </c>
      <c r="L21" s="304">
        <v>613200</v>
      </c>
      <c r="M21" s="354">
        <f t="shared" si="2"/>
        <v>615</v>
      </c>
      <c r="N21" s="354">
        <f t="shared" si="2"/>
        <v>637420</v>
      </c>
      <c r="O21" s="305">
        <f t="shared" si="12"/>
        <v>1.2035225048923679</v>
      </c>
      <c r="P21" s="305">
        <f t="shared" si="13"/>
        <v>1.0394977168949773</v>
      </c>
      <c r="Q21" s="306">
        <v>386</v>
      </c>
      <c r="R21" s="304">
        <v>463200</v>
      </c>
      <c r="S21" s="354">
        <f t="shared" si="3"/>
        <v>478</v>
      </c>
      <c r="T21" s="354">
        <f t="shared" si="3"/>
        <v>462920</v>
      </c>
      <c r="U21" s="305">
        <f t="shared" si="14"/>
        <v>1.2383419689119171</v>
      </c>
      <c r="V21" s="305">
        <f t="shared" si="15"/>
        <v>0.99939550949913647</v>
      </c>
      <c r="W21" s="307">
        <v>286</v>
      </c>
      <c r="X21" s="304">
        <v>343200</v>
      </c>
      <c r="Y21" s="354">
        <f t="shared" si="4"/>
        <v>384</v>
      </c>
      <c r="Z21" s="354">
        <f t="shared" si="4"/>
        <v>344040</v>
      </c>
      <c r="AA21" s="305">
        <f t="shared" si="16"/>
        <v>1.3426573426573427</v>
      </c>
      <c r="AB21" s="308">
        <f t="shared" si="17"/>
        <v>1.0024475524475525</v>
      </c>
      <c r="AC21" s="430">
        <f t="shared" si="18"/>
        <v>977.91469194312799</v>
      </c>
      <c r="AH21" s="390"/>
      <c r="AI21" s="390"/>
      <c r="AJ21" s="390"/>
      <c r="AK21" s="390"/>
      <c r="AL21" s="390"/>
      <c r="AM21" s="390"/>
      <c r="AN21" s="390"/>
      <c r="AO21" s="390"/>
      <c r="AP21" s="390"/>
      <c r="AQ21" s="390"/>
      <c r="AR21" s="390"/>
      <c r="AS21" s="390"/>
      <c r="AT21" s="390"/>
      <c r="AU21" s="390"/>
      <c r="AV21" s="390"/>
      <c r="AW21" s="390"/>
      <c r="AX21" s="390"/>
      <c r="AY21" s="390"/>
      <c r="AZ21" s="390"/>
      <c r="BA21" s="390"/>
      <c r="BB21" s="390"/>
    </row>
    <row r="22" spans="1:54" ht="15.75" x14ac:dyDescent="0.25">
      <c r="A22" s="296">
        <v>13</v>
      </c>
      <c r="B22" s="359" t="s">
        <v>17</v>
      </c>
      <c r="C22" s="304">
        <f t="shared" si="5"/>
        <v>1161</v>
      </c>
      <c r="D22" s="304">
        <f t="shared" si="6"/>
        <v>1393200</v>
      </c>
      <c r="E22" s="304">
        <f t="shared" si="7"/>
        <v>1722</v>
      </c>
      <c r="F22" s="304">
        <f t="shared" si="8"/>
        <v>1075260</v>
      </c>
      <c r="G22" s="305">
        <f t="shared" si="10"/>
        <v>1.4832041343669251</v>
      </c>
      <c r="H22" s="305">
        <f t="shared" si="11"/>
        <v>0.77179155900086127</v>
      </c>
      <c r="I22" s="386"/>
      <c r="J22" s="385">
        <f t="shared" si="9"/>
        <v>46439</v>
      </c>
      <c r="K22" s="306">
        <v>487</v>
      </c>
      <c r="L22" s="304">
        <v>584400</v>
      </c>
      <c r="M22" s="354">
        <f t="shared" si="2"/>
        <v>713</v>
      </c>
      <c r="N22" s="354">
        <f t="shared" si="2"/>
        <v>444420</v>
      </c>
      <c r="O22" s="305">
        <f t="shared" si="12"/>
        <v>1.4640657084188913</v>
      </c>
      <c r="P22" s="305">
        <f t="shared" si="13"/>
        <v>0.76047227926078032</v>
      </c>
      <c r="Q22" s="306">
        <v>357</v>
      </c>
      <c r="R22" s="304">
        <v>428400</v>
      </c>
      <c r="S22" s="354">
        <f t="shared" si="3"/>
        <v>549</v>
      </c>
      <c r="T22" s="354">
        <f t="shared" si="3"/>
        <v>343080</v>
      </c>
      <c r="U22" s="305">
        <f t="shared" si="14"/>
        <v>1.5378151260504203</v>
      </c>
      <c r="V22" s="305">
        <f t="shared" si="15"/>
        <v>0.80084033613445382</v>
      </c>
      <c r="W22" s="307">
        <v>317</v>
      </c>
      <c r="X22" s="304">
        <v>380400</v>
      </c>
      <c r="Y22" s="354">
        <f t="shared" si="4"/>
        <v>460</v>
      </c>
      <c r="Z22" s="354">
        <f t="shared" si="4"/>
        <v>287760</v>
      </c>
      <c r="AA22" s="305">
        <f t="shared" si="16"/>
        <v>1.4511041009463723</v>
      </c>
      <c r="AB22" s="308">
        <f t="shared" si="17"/>
        <v>0.75646687697160886</v>
      </c>
      <c r="AC22" s="430">
        <f t="shared" si="18"/>
        <v>624.42508710801394</v>
      </c>
      <c r="AH22" s="390"/>
      <c r="AI22" s="390"/>
      <c r="AJ22" s="390"/>
      <c r="AK22" s="390"/>
      <c r="AL22" s="390"/>
      <c r="AM22" s="390"/>
      <c r="AN22" s="390"/>
      <c r="AO22" s="390"/>
      <c r="AP22" s="390"/>
      <c r="AQ22" s="390"/>
      <c r="AR22" s="390"/>
      <c r="AS22" s="390"/>
      <c r="AT22" s="390"/>
      <c r="AU22" s="390"/>
      <c r="AV22" s="390"/>
      <c r="AW22" s="390"/>
      <c r="AX22" s="390"/>
      <c r="AY22" s="390"/>
      <c r="AZ22" s="390"/>
      <c r="BA22" s="390"/>
      <c r="BB22" s="390"/>
    </row>
    <row r="23" spans="1:54" ht="16.5" thickBot="1" x14ac:dyDescent="0.3">
      <c r="A23" s="402">
        <v>14</v>
      </c>
      <c r="B23" s="362" t="s">
        <v>18</v>
      </c>
      <c r="C23" s="309">
        <f t="shared" si="5"/>
        <v>1271</v>
      </c>
      <c r="D23" s="309">
        <f t="shared" si="6"/>
        <v>1525200</v>
      </c>
      <c r="E23" s="309">
        <f t="shared" si="7"/>
        <v>1572</v>
      </c>
      <c r="F23" s="309">
        <f t="shared" si="8"/>
        <v>1231380</v>
      </c>
      <c r="G23" s="310">
        <f t="shared" si="10"/>
        <v>1.2368214004720692</v>
      </c>
      <c r="H23" s="310">
        <f t="shared" si="11"/>
        <v>0.80735641227380017</v>
      </c>
      <c r="I23" s="388"/>
      <c r="J23" s="385">
        <f t="shared" si="9"/>
        <v>49540</v>
      </c>
      <c r="K23" s="311">
        <v>707</v>
      </c>
      <c r="L23" s="309">
        <v>848400</v>
      </c>
      <c r="M23" s="354">
        <f t="shared" si="2"/>
        <v>944</v>
      </c>
      <c r="N23" s="354">
        <f t="shared" si="2"/>
        <v>705480</v>
      </c>
      <c r="O23" s="310">
        <f t="shared" si="12"/>
        <v>1.3352192362093351</v>
      </c>
      <c r="P23" s="310">
        <f t="shared" si="13"/>
        <v>0.83154172560113149</v>
      </c>
      <c r="Q23" s="311">
        <v>319</v>
      </c>
      <c r="R23" s="309">
        <v>382800</v>
      </c>
      <c r="S23" s="354">
        <f t="shared" si="3"/>
        <v>363</v>
      </c>
      <c r="T23" s="354">
        <f t="shared" si="3"/>
        <v>293280</v>
      </c>
      <c r="U23" s="310">
        <f t="shared" si="14"/>
        <v>1.1379310344827587</v>
      </c>
      <c r="V23" s="310">
        <f t="shared" si="15"/>
        <v>0.7661442006269592</v>
      </c>
      <c r="W23" s="312">
        <v>245</v>
      </c>
      <c r="X23" s="309">
        <v>294000</v>
      </c>
      <c r="Y23" s="354">
        <f t="shared" si="4"/>
        <v>265</v>
      </c>
      <c r="Z23" s="354">
        <f t="shared" si="4"/>
        <v>232620</v>
      </c>
      <c r="AA23" s="310">
        <f t="shared" si="16"/>
        <v>1.0816326530612246</v>
      </c>
      <c r="AB23" s="313">
        <f t="shared" si="17"/>
        <v>0.79122448979591842</v>
      </c>
      <c r="AC23" s="430">
        <f t="shared" si="18"/>
        <v>783.32061068702285</v>
      </c>
      <c r="AH23" s="390"/>
      <c r="AI23" s="390"/>
      <c r="AJ23" s="390"/>
      <c r="AK23" s="390"/>
      <c r="AL23" s="390"/>
      <c r="AM23" s="390"/>
      <c r="AN23" s="390"/>
      <c r="AO23" s="390"/>
      <c r="AP23" s="390"/>
      <c r="AQ23" s="390"/>
      <c r="AR23" s="390"/>
      <c r="AS23" s="390"/>
      <c r="AT23" s="390"/>
      <c r="AU23" s="390"/>
      <c r="AV23" s="390"/>
      <c r="AW23" s="390"/>
      <c r="AX23" s="390"/>
      <c r="AY23" s="390"/>
      <c r="AZ23" s="390"/>
      <c r="BA23" s="390"/>
      <c r="BB23" s="390"/>
    </row>
    <row r="24" spans="1:54" ht="22.5" x14ac:dyDescent="0.3">
      <c r="A24" s="397"/>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H24" s="390"/>
      <c r="AI24" s="390"/>
      <c r="AJ24" s="390"/>
      <c r="AK24" s="390"/>
      <c r="AL24" s="390"/>
      <c r="AM24" s="390"/>
      <c r="AN24" s="390"/>
      <c r="AO24" s="390"/>
      <c r="AP24" s="390"/>
      <c r="AQ24" s="390"/>
      <c r="AR24" s="390"/>
      <c r="AS24" s="390"/>
      <c r="AT24" s="390"/>
      <c r="AU24" s="390"/>
      <c r="AV24" s="390"/>
      <c r="AW24" s="390"/>
      <c r="AX24" s="390"/>
      <c r="AY24" s="390"/>
      <c r="AZ24" s="390"/>
      <c r="BA24" s="390"/>
      <c r="BB24" s="390"/>
    </row>
    <row r="25" spans="1:54" ht="19.5" thickBot="1" x14ac:dyDescent="0.35">
      <c r="A25" s="289"/>
      <c r="B25" s="376" t="s">
        <v>190</v>
      </c>
      <c r="C25" s="288"/>
      <c r="D25" s="288"/>
      <c r="E25" s="288"/>
      <c r="F25" s="288"/>
      <c r="G25" s="288"/>
      <c r="H25" s="288"/>
      <c r="I25" s="288"/>
      <c r="J25" s="288"/>
      <c r="K25" s="288"/>
      <c r="L25" s="288"/>
      <c r="M25" s="288"/>
      <c r="N25" s="288"/>
      <c r="O25" s="288"/>
      <c r="P25" s="288"/>
      <c r="Q25" s="288"/>
      <c r="R25" s="288"/>
      <c r="S25" s="288"/>
      <c r="T25" s="288"/>
      <c r="U25" s="288"/>
      <c r="V25" s="288"/>
      <c r="AA25" s="700" t="s">
        <v>194</v>
      </c>
      <c r="AB25" s="700"/>
      <c r="AH25" s="390"/>
      <c r="AI25" s="390"/>
      <c r="AJ25" s="390"/>
      <c r="AK25" s="390"/>
      <c r="AL25" s="390"/>
      <c r="AM25" s="390"/>
      <c r="AN25" s="390"/>
      <c r="AO25" s="390"/>
      <c r="AP25" s="390"/>
      <c r="AQ25" s="390"/>
      <c r="AR25" s="390"/>
      <c r="AS25" s="390"/>
      <c r="AT25" s="390"/>
      <c r="AU25" s="390"/>
      <c r="AV25" s="390"/>
      <c r="AW25" s="390"/>
      <c r="AX25" s="390"/>
      <c r="AY25" s="390"/>
      <c r="AZ25" s="390"/>
      <c r="BA25" s="390"/>
      <c r="BB25" s="390"/>
    </row>
    <row r="26" spans="1:54" ht="16.5" thickBot="1" x14ac:dyDescent="0.3">
      <c r="A26" s="701" t="s">
        <v>0</v>
      </c>
      <c r="B26" s="705" t="s">
        <v>195</v>
      </c>
      <c r="C26" s="670" t="s">
        <v>196</v>
      </c>
      <c r="D26" s="671"/>
      <c r="E26" s="671"/>
      <c r="F26" s="671"/>
      <c r="G26" s="671"/>
      <c r="H26" s="671"/>
      <c r="I26" s="673" t="s">
        <v>557</v>
      </c>
      <c r="J26" s="674"/>
      <c r="K26" s="679" t="s">
        <v>197</v>
      </c>
      <c r="L26" s="680"/>
      <c r="M26" s="680"/>
      <c r="N26" s="680"/>
      <c r="O26" s="680"/>
      <c r="P26" s="680"/>
      <c r="Q26" s="680"/>
      <c r="R26" s="680"/>
      <c r="S26" s="680"/>
      <c r="T26" s="680"/>
      <c r="U26" s="680"/>
      <c r="V26" s="680"/>
      <c r="W26" s="680"/>
      <c r="X26" s="680"/>
      <c r="Y26" s="680"/>
      <c r="Z26" s="680"/>
      <c r="AA26" s="680"/>
      <c r="AB26" s="681"/>
      <c r="AH26" s="390"/>
      <c r="AI26" s="390"/>
      <c r="AJ26" s="390"/>
      <c r="AK26" s="390"/>
      <c r="AL26" s="390"/>
      <c r="AM26" s="390"/>
      <c r="AN26" s="390"/>
      <c r="AO26" s="390"/>
      <c r="AP26" s="390"/>
      <c r="AQ26" s="390"/>
      <c r="AR26" s="390"/>
      <c r="AS26" s="390"/>
      <c r="AT26" s="390"/>
      <c r="AU26" s="390"/>
      <c r="AV26" s="390"/>
      <c r="AW26" s="390"/>
      <c r="AX26" s="390"/>
      <c r="AY26" s="390"/>
      <c r="AZ26" s="390"/>
      <c r="BA26" s="390"/>
      <c r="BB26" s="390"/>
    </row>
    <row r="27" spans="1:54" ht="32.25" customHeight="1" x14ac:dyDescent="0.25">
      <c r="A27" s="702"/>
      <c r="B27" s="706"/>
      <c r="C27" s="682" t="s">
        <v>143</v>
      </c>
      <c r="D27" s="683"/>
      <c r="E27" s="686" t="s">
        <v>198</v>
      </c>
      <c r="F27" s="683"/>
      <c r="G27" s="686" t="s">
        <v>199</v>
      </c>
      <c r="H27" s="709"/>
      <c r="I27" s="675"/>
      <c r="J27" s="676"/>
      <c r="K27" s="690" t="s">
        <v>200</v>
      </c>
      <c r="L27" s="691"/>
      <c r="M27" s="691"/>
      <c r="N27" s="691"/>
      <c r="O27" s="691"/>
      <c r="P27" s="692"/>
      <c r="Q27" s="690" t="s">
        <v>201</v>
      </c>
      <c r="R27" s="691"/>
      <c r="S27" s="691"/>
      <c r="T27" s="691"/>
      <c r="U27" s="691"/>
      <c r="V27" s="692"/>
      <c r="W27" s="690" t="s">
        <v>202</v>
      </c>
      <c r="X27" s="691"/>
      <c r="Y27" s="691"/>
      <c r="Z27" s="691"/>
      <c r="AA27" s="691"/>
      <c r="AB27" s="692"/>
      <c r="AF27" s="357"/>
      <c r="AH27" s="390"/>
      <c r="AI27" s="390"/>
      <c r="AJ27" s="390"/>
      <c r="AK27" s="390"/>
      <c r="AL27" s="390"/>
      <c r="AM27" s="390"/>
      <c r="AN27" s="390"/>
      <c r="AO27" s="390"/>
      <c r="AP27" s="390"/>
      <c r="AQ27" s="390"/>
      <c r="AR27" s="390"/>
      <c r="AS27" s="390"/>
      <c r="AT27" s="390"/>
      <c r="AU27" s="390"/>
      <c r="AV27" s="390"/>
      <c r="AW27" s="390"/>
      <c r="AX27" s="390"/>
      <c r="AY27" s="390"/>
      <c r="AZ27" s="390"/>
      <c r="BA27" s="390"/>
      <c r="BB27" s="390"/>
    </row>
    <row r="28" spans="1:54" ht="15.75" x14ac:dyDescent="0.25">
      <c r="A28" s="703"/>
      <c r="B28" s="707"/>
      <c r="C28" s="684"/>
      <c r="D28" s="685"/>
      <c r="E28" s="687"/>
      <c r="F28" s="685"/>
      <c r="G28" s="687"/>
      <c r="H28" s="710"/>
      <c r="I28" s="677"/>
      <c r="J28" s="678"/>
      <c r="K28" s="693" t="s">
        <v>143</v>
      </c>
      <c r="L28" s="694"/>
      <c r="M28" s="695" t="s">
        <v>198</v>
      </c>
      <c r="N28" s="694"/>
      <c r="O28" s="695" t="s">
        <v>199</v>
      </c>
      <c r="P28" s="696"/>
      <c r="Q28" s="693" t="s">
        <v>143</v>
      </c>
      <c r="R28" s="694"/>
      <c r="S28" s="695" t="s">
        <v>198</v>
      </c>
      <c r="T28" s="694"/>
      <c r="U28" s="695" t="s">
        <v>199</v>
      </c>
      <c r="V28" s="696"/>
      <c r="W28" s="693" t="s">
        <v>143</v>
      </c>
      <c r="X28" s="694"/>
      <c r="Y28" s="695" t="s">
        <v>198</v>
      </c>
      <c r="Z28" s="694"/>
      <c r="AA28" s="695" t="s">
        <v>199</v>
      </c>
      <c r="AB28" s="696"/>
      <c r="AH28" s="390"/>
      <c r="AI28" s="390"/>
      <c r="AJ28" s="390"/>
      <c r="AK28" s="390"/>
      <c r="AL28" s="390"/>
      <c r="AM28" s="390"/>
      <c r="AN28" s="390"/>
      <c r="AO28" s="390"/>
      <c r="AP28" s="390"/>
      <c r="AQ28" s="390"/>
      <c r="AR28" s="390"/>
      <c r="AS28" s="390"/>
      <c r="AT28" s="390"/>
      <c r="AU28" s="390"/>
      <c r="AV28" s="390"/>
      <c r="AW28" s="390"/>
      <c r="AX28" s="390"/>
      <c r="AY28" s="390"/>
      <c r="AZ28" s="390"/>
      <c r="BA28" s="390"/>
      <c r="BB28" s="390"/>
    </row>
    <row r="29" spans="1:54" ht="16.5" thickBot="1" x14ac:dyDescent="0.3">
      <c r="A29" s="704"/>
      <c r="B29" s="708"/>
      <c r="C29" s="395" t="s">
        <v>203</v>
      </c>
      <c r="D29" s="290" t="s">
        <v>204</v>
      </c>
      <c r="E29" s="290" t="s">
        <v>203</v>
      </c>
      <c r="F29" s="290" t="s">
        <v>204</v>
      </c>
      <c r="G29" s="290" t="s">
        <v>203</v>
      </c>
      <c r="H29" s="378" t="s">
        <v>204</v>
      </c>
      <c r="I29" s="395" t="s">
        <v>558</v>
      </c>
      <c r="J29" s="396" t="s">
        <v>204</v>
      </c>
      <c r="K29" s="395" t="s">
        <v>203</v>
      </c>
      <c r="L29" s="290" t="s">
        <v>204</v>
      </c>
      <c r="M29" s="290" t="s">
        <v>203</v>
      </c>
      <c r="N29" s="290" t="s">
        <v>204</v>
      </c>
      <c r="O29" s="290" t="s">
        <v>203</v>
      </c>
      <c r="P29" s="290" t="s">
        <v>204</v>
      </c>
      <c r="Q29" s="395" t="s">
        <v>203</v>
      </c>
      <c r="R29" s="290" t="s">
        <v>204</v>
      </c>
      <c r="S29" s="290" t="s">
        <v>203</v>
      </c>
      <c r="T29" s="290" t="s">
        <v>204</v>
      </c>
      <c r="U29" s="290" t="s">
        <v>203</v>
      </c>
      <c r="V29" s="290" t="s">
        <v>204</v>
      </c>
      <c r="W29" s="395" t="s">
        <v>203</v>
      </c>
      <c r="X29" s="290" t="s">
        <v>204</v>
      </c>
      <c r="Y29" s="290" t="s">
        <v>203</v>
      </c>
      <c r="Z29" s="290" t="s">
        <v>204</v>
      </c>
      <c r="AA29" s="290" t="s">
        <v>203</v>
      </c>
      <c r="AB29" s="396" t="s">
        <v>204</v>
      </c>
      <c r="AH29" s="390"/>
      <c r="AI29" s="390"/>
      <c r="AJ29" s="390"/>
      <c r="AK29" s="390"/>
      <c r="AL29" s="390"/>
      <c r="AM29" s="390"/>
      <c r="AN29" s="390"/>
      <c r="AO29" s="390"/>
      <c r="AP29" s="390"/>
      <c r="AQ29" s="390"/>
      <c r="AR29" s="390"/>
      <c r="AS29" s="390"/>
      <c r="AT29" s="390"/>
      <c r="AU29" s="390"/>
      <c r="AV29" s="390"/>
      <c r="AW29" s="390"/>
      <c r="AX29" s="390"/>
      <c r="AY29" s="390"/>
      <c r="AZ29" s="390"/>
      <c r="BA29" s="390"/>
      <c r="BB29" s="390"/>
    </row>
    <row r="30" spans="1:54" s="295" customFormat="1" ht="16.5" thickBot="1" x14ac:dyDescent="0.3">
      <c r="A30" s="719" t="s">
        <v>163</v>
      </c>
      <c r="B30" s="720"/>
      <c r="C30" s="291">
        <f>SUM(C32:C44)</f>
        <v>4298</v>
      </c>
      <c r="D30" s="292">
        <f t="shared" ref="D30:AB30" si="19">SUM(D32:D44)</f>
        <v>5157600</v>
      </c>
      <c r="E30" s="292">
        <f t="shared" ref="E30:J30" si="20">SUM(E32:E44)</f>
        <v>6168</v>
      </c>
      <c r="F30" s="292">
        <f t="shared" si="20"/>
        <v>6076200</v>
      </c>
      <c r="G30" s="292">
        <f t="shared" si="20"/>
        <v>19.419020398472398</v>
      </c>
      <c r="H30" s="379">
        <f t="shared" si="20"/>
        <v>17.09635779684638</v>
      </c>
      <c r="I30" s="291">
        <f t="shared" si="20"/>
        <v>0</v>
      </c>
      <c r="J30" s="383">
        <f t="shared" si="20"/>
        <v>15000</v>
      </c>
      <c r="K30" s="291">
        <f t="shared" si="19"/>
        <v>1495</v>
      </c>
      <c r="L30" s="292">
        <f t="shared" si="19"/>
        <v>1794000</v>
      </c>
      <c r="M30" s="292">
        <f t="shared" si="19"/>
        <v>2098</v>
      </c>
      <c r="N30" s="292">
        <f t="shared" si="19"/>
        <v>2154000</v>
      </c>
      <c r="O30" s="292" t="e">
        <f t="shared" si="19"/>
        <v>#DIV/0!</v>
      </c>
      <c r="P30" s="293" t="e">
        <f t="shared" si="19"/>
        <v>#DIV/0!</v>
      </c>
      <c r="Q30" s="291">
        <f t="shared" si="19"/>
        <v>1140</v>
      </c>
      <c r="R30" s="292">
        <f t="shared" si="19"/>
        <v>1368000</v>
      </c>
      <c r="S30" s="292">
        <f t="shared" si="19"/>
        <v>1850</v>
      </c>
      <c r="T30" s="292">
        <f t="shared" si="19"/>
        <v>1883400</v>
      </c>
      <c r="U30" s="292" t="e">
        <f t="shared" si="19"/>
        <v>#DIV/0!</v>
      </c>
      <c r="V30" s="293" t="e">
        <f t="shared" si="19"/>
        <v>#DIV/0!</v>
      </c>
      <c r="W30" s="291">
        <f t="shared" si="19"/>
        <v>1663</v>
      </c>
      <c r="X30" s="292">
        <f t="shared" si="19"/>
        <v>1995600</v>
      </c>
      <c r="Y30" s="292">
        <f t="shared" si="19"/>
        <v>2220</v>
      </c>
      <c r="Z30" s="292">
        <f t="shared" si="19"/>
        <v>2038800</v>
      </c>
      <c r="AA30" s="292">
        <f t="shared" si="19"/>
        <v>22.295665350321769</v>
      </c>
      <c r="AB30" s="293">
        <f t="shared" si="19"/>
        <v>20.34070199256028</v>
      </c>
      <c r="AC30" s="357"/>
      <c r="AD30" s="286"/>
      <c r="AE30" s="294"/>
      <c r="AF30" s="294"/>
      <c r="AG30" s="294"/>
      <c r="AH30" s="391"/>
      <c r="AI30" s="391"/>
      <c r="AJ30" s="391"/>
      <c r="AK30" s="391"/>
      <c r="AL30" s="391"/>
      <c r="AM30" s="391"/>
      <c r="AN30" s="392"/>
      <c r="AO30" s="392"/>
      <c r="AP30" s="392"/>
      <c r="AQ30" s="392"/>
      <c r="AR30" s="392"/>
      <c r="AS30" s="392"/>
      <c r="AT30" s="392"/>
      <c r="AU30" s="392"/>
      <c r="AV30" s="392"/>
      <c r="AW30" s="392"/>
      <c r="AX30" s="392"/>
      <c r="AY30" s="392"/>
      <c r="AZ30" s="392"/>
      <c r="BA30" s="392"/>
      <c r="BB30" s="392"/>
    </row>
    <row r="31" spans="1:54" s="302" customFormat="1" ht="15.75" x14ac:dyDescent="0.25">
      <c r="A31" s="296">
        <v>1</v>
      </c>
      <c r="B31" s="358" t="s">
        <v>127</v>
      </c>
      <c r="C31" s="297"/>
      <c r="D31" s="297"/>
      <c r="E31" s="297"/>
      <c r="F31" s="297"/>
      <c r="G31" s="298"/>
      <c r="H31" s="380"/>
      <c r="I31" s="384"/>
      <c r="J31" s="385"/>
      <c r="K31" s="299"/>
      <c r="L31" s="297"/>
      <c r="M31" s="354"/>
      <c r="N31" s="354"/>
      <c r="O31" s="298"/>
      <c r="P31" s="298"/>
      <c r="Q31" s="299"/>
      <c r="R31" s="297"/>
      <c r="S31" s="354"/>
      <c r="T31" s="354"/>
      <c r="U31" s="298"/>
      <c r="V31" s="298"/>
      <c r="W31" s="300"/>
      <c r="X31" s="297"/>
      <c r="Y31" s="354"/>
      <c r="Z31" s="354"/>
      <c r="AA31" s="298"/>
      <c r="AB31" s="301"/>
      <c r="AC31" s="357"/>
      <c r="AD31" s="361"/>
      <c r="AE31" s="294"/>
      <c r="AF31" s="294"/>
      <c r="AG31" s="294"/>
      <c r="AH31" s="391"/>
      <c r="AI31" s="391"/>
      <c r="AJ31" s="391"/>
      <c r="AK31" s="391"/>
      <c r="AL31" s="391"/>
      <c r="AM31" s="391"/>
      <c r="AN31" s="393"/>
      <c r="AO31" s="393"/>
      <c r="AP31" s="393"/>
      <c r="AQ31" s="393"/>
      <c r="AR31" s="393"/>
      <c r="AS31" s="393"/>
      <c r="AT31" s="393"/>
      <c r="AU31" s="393"/>
      <c r="AV31" s="393"/>
      <c r="AW31" s="393"/>
      <c r="AX31" s="393"/>
      <c r="AY31" s="393"/>
      <c r="AZ31" s="393"/>
      <c r="BA31" s="393"/>
      <c r="BB31" s="393"/>
    </row>
    <row r="32" spans="1:54" s="302" customFormat="1" ht="15.75" x14ac:dyDescent="0.25">
      <c r="A32" s="296">
        <v>2</v>
      </c>
      <c r="B32" s="358" t="s">
        <v>205</v>
      </c>
      <c r="C32" s="297">
        <f t="shared" ref="C32:C44" si="21">+K32+Q32+W32</f>
        <v>560</v>
      </c>
      <c r="D32" s="297">
        <f t="shared" ref="D32:D44" si="22">+L32+R32+X32</f>
        <v>672000</v>
      </c>
      <c r="E32" s="297">
        <f>+M32+S32+Y32</f>
        <v>560</v>
      </c>
      <c r="F32" s="297">
        <f>+N32+T32+Z32</f>
        <v>336000</v>
      </c>
      <c r="G32" s="298">
        <f>+E32/C32</f>
        <v>1</v>
      </c>
      <c r="H32" s="380">
        <f>+F32/D32</f>
        <v>0.5</v>
      </c>
      <c r="I32" s="384"/>
      <c r="J32" s="385"/>
      <c r="K32" s="299">
        <v>0</v>
      </c>
      <c r="L32" s="297">
        <v>0</v>
      </c>
      <c r="M32" s="354"/>
      <c r="N32" s="354"/>
      <c r="O32" s="298" t="e">
        <f>+M32/K32</f>
        <v>#DIV/0!</v>
      </c>
      <c r="P32" s="298" t="e">
        <f>+N32/L32</f>
        <v>#DIV/0!</v>
      </c>
      <c r="Q32" s="299">
        <v>0</v>
      </c>
      <c r="R32" s="297">
        <v>0</v>
      </c>
      <c r="S32" s="354"/>
      <c r="T32" s="354"/>
      <c r="U32" s="298" t="e">
        <f>+S32/Q32</f>
        <v>#DIV/0!</v>
      </c>
      <c r="V32" s="298" t="e">
        <f>+T32/R32</f>
        <v>#DIV/0!</v>
      </c>
      <c r="W32" s="300">
        <v>560</v>
      </c>
      <c r="X32" s="297">
        <v>672000</v>
      </c>
      <c r="Y32" s="354">
        <v>560</v>
      </c>
      <c r="Z32" s="354">
        <v>336000</v>
      </c>
      <c r="AA32" s="298">
        <f>+Y32/W32</f>
        <v>1</v>
      </c>
      <c r="AB32" s="301">
        <f>+Z32/X32</f>
        <v>0.5</v>
      </c>
      <c r="AC32" s="429">
        <f t="shared" ref="AC32:AC44" si="23">F32/E32</f>
        <v>600</v>
      </c>
      <c r="AE32" s="294"/>
      <c r="AF32" s="294"/>
      <c r="AG32" s="294"/>
      <c r="AH32" s="391"/>
      <c r="AI32" s="391"/>
      <c r="AJ32" s="391"/>
      <c r="AK32" s="391"/>
      <c r="AL32" s="391"/>
      <c r="AM32" s="391"/>
      <c r="AN32" s="393"/>
      <c r="AO32" s="393"/>
      <c r="AP32" s="393"/>
      <c r="AQ32" s="393"/>
      <c r="AR32" s="393"/>
      <c r="AS32" s="393"/>
      <c r="AT32" s="393"/>
      <c r="AU32" s="393"/>
      <c r="AV32" s="393"/>
      <c r="AW32" s="393"/>
      <c r="AX32" s="393"/>
      <c r="AY32" s="393"/>
      <c r="AZ32" s="393"/>
      <c r="BA32" s="393"/>
      <c r="BB32" s="393"/>
    </row>
    <row r="33" spans="1:54" ht="15.75" x14ac:dyDescent="0.25">
      <c r="A33" s="296">
        <v>3</v>
      </c>
      <c r="B33" s="359" t="s">
        <v>147</v>
      </c>
      <c r="C33" s="304">
        <f t="shared" si="21"/>
        <v>473</v>
      </c>
      <c r="D33" s="304">
        <f t="shared" si="22"/>
        <v>567600</v>
      </c>
      <c r="E33" s="304">
        <f t="shared" ref="E33:E44" si="24">+M33+S33+Y33</f>
        <v>451</v>
      </c>
      <c r="F33" s="304">
        <f t="shared" ref="F33:F44" si="25">+N33+T33+Z33</f>
        <v>541200</v>
      </c>
      <c r="G33" s="305">
        <f t="shared" ref="G33:G44" si="26">+E33/C33</f>
        <v>0.95348837209302328</v>
      </c>
      <c r="H33" s="381">
        <f t="shared" ref="H33:H44" si="27">+F33/D33</f>
        <v>0.95348837209302328</v>
      </c>
      <c r="I33" s="386" t="s">
        <v>559</v>
      </c>
      <c r="J33" s="387">
        <v>6000</v>
      </c>
      <c r="K33" s="306">
        <v>185</v>
      </c>
      <c r="L33" s="304">
        <v>222000</v>
      </c>
      <c r="M33" s="355">
        <v>173</v>
      </c>
      <c r="N33" s="355">
        <v>207600</v>
      </c>
      <c r="O33" s="305">
        <f t="shared" ref="O33:O44" si="28">+M33/K33</f>
        <v>0.93513513513513513</v>
      </c>
      <c r="P33" s="305">
        <f t="shared" ref="P33:P44" si="29">+N33/L33</f>
        <v>0.93513513513513513</v>
      </c>
      <c r="Q33" s="306">
        <v>136</v>
      </c>
      <c r="R33" s="304">
        <v>163200</v>
      </c>
      <c r="S33" s="355">
        <v>126</v>
      </c>
      <c r="T33" s="355">
        <v>151200</v>
      </c>
      <c r="U33" s="305">
        <f t="shared" ref="U33:U44" si="30">+S33/Q33</f>
        <v>0.92647058823529416</v>
      </c>
      <c r="V33" s="305">
        <f t="shared" ref="V33:V44" si="31">+T33/R33</f>
        <v>0.92647058823529416</v>
      </c>
      <c r="W33" s="307">
        <v>152</v>
      </c>
      <c r="X33" s="304">
        <v>182400</v>
      </c>
      <c r="Y33" s="355">
        <v>152</v>
      </c>
      <c r="Z33" s="355">
        <v>182400</v>
      </c>
      <c r="AA33" s="305">
        <f t="shared" ref="AA33:AA44" si="32">+Y33/W33</f>
        <v>1</v>
      </c>
      <c r="AB33" s="308">
        <f t="shared" ref="AB33:AB44" si="33">+Z33/X33</f>
        <v>1</v>
      </c>
      <c r="AC33" s="429">
        <f t="shared" si="23"/>
        <v>1200</v>
      </c>
      <c r="AE33" s="294"/>
      <c r="AF33" s="294"/>
      <c r="AG33" s="294"/>
      <c r="AH33" s="391"/>
      <c r="AI33" s="391"/>
      <c r="AJ33" s="391"/>
      <c r="AK33" s="391"/>
      <c r="AL33" s="391"/>
      <c r="AM33" s="391"/>
      <c r="AN33" s="390"/>
      <c r="AO33" s="390"/>
      <c r="AP33" s="390"/>
      <c r="AQ33" s="390"/>
      <c r="AR33" s="390"/>
      <c r="AS33" s="390"/>
      <c r="AT33" s="390"/>
      <c r="AU33" s="390"/>
      <c r="AV33" s="390"/>
      <c r="AW33" s="390"/>
      <c r="AX33" s="390"/>
      <c r="AY33" s="390"/>
      <c r="AZ33" s="390"/>
      <c r="BA33" s="390"/>
      <c r="BB33" s="390"/>
    </row>
    <row r="34" spans="1:54" ht="15.75" x14ac:dyDescent="0.25">
      <c r="A34" s="296">
        <v>4</v>
      </c>
      <c r="B34" s="359" t="s">
        <v>148</v>
      </c>
      <c r="C34" s="304">
        <f t="shared" si="21"/>
        <v>473</v>
      </c>
      <c r="D34" s="304">
        <f t="shared" si="22"/>
        <v>567600</v>
      </c>
      <c r="E34" s="304">
        <f t="shared" si="24"/>
        <v>473</v>
      </c>
      <c r="F34" s="304">
        <f t="shared" si="25"/>
        <v>567600</v>
      </c>
      <c r="G34" s="305">
        <f t="shared" si="26"/>
        <v>1</v>
      </c>
      <c r="H34" s="381">
        <f t="shared" si="27"/>
        <v>1</v>
      </c>
      <c r="I34" s="386"/>
      <c r="J34" s="387"/>
      <c r="K34" s="306">
        <v>158</v>
      </c>
      <c r="L34" s="304">
        <v>189600</v>
      </c>
      <c r="M34" s="355">
        <v>158</v>
      </c>
      <c r="N34" s="355">
        <v>189600</v>
      </c>
      <c r="O34" s="305">
        <f t="shared" si="28"/>
        <v>1</v>
      </c>
      <c r="P34" s="305">
        <f t="shared" si="29"/>
        <v>1</v>
      </c>
      <c r="Q34" s="306">
        <v>158</v>
      </c>
      <c r="R34" s="304">
        <v>189600</v>
      </c>
      <c r="S34" s="355">
        <v>158</v>
      </c>
      <c r="T34" s="355">
        <v>189600</v>
      </c>
      <c r="U34" s="305">
        <f t="shared" si="30"/>
        <v>1</v>
      </c>
      <c r="V34" s="305">
        <f t="shared" si="31"/>
        <v>1</v>
      </c>
      <c r="W34" s="307">
        <v>157</v>
      </c>
      <c r="X34" s="304">
        <v>188400</v>
      </c>
      <c r="Y34" s="355">
        <v>157</v>
      </c>
      <c r="Z34" s="355">
        <v>188400</v>
      </c>
      <c r="AA34" s="305">
        <f t="shared" si="32"/>
        <v>1</v>
      </c>
      <c r="AB34" s="308">
        <f t="shared" si="33"/>
        <v>1</v>
      </c>
      <c r="AC34" s="429">
        <f t="shared" si="23"/>
        <v>1200</v>
      </c>
      <c r="AE34" s="294"/>
      <c r="AF34" s="294"/>
      <c r="AG34" s="294"/>
      <c r="AH34" s="391"/>
      <c r="AI34" s="391"/>
      <c r="AJ34" s="391"/>
      <c r="AK34" s="391"/>
      <c r="AL34" s="391"/>
      <c r="AM34" s="391"/>
      <c r="AN34" s="390"/>
      <c r="AO34" s="390"/>
      <c r="AP34" s="390"/>
      <c r="AQ34" s="390"/>
      <c r="AR34" s="390"/>
      <c r="AS34" s="390"/>
      <c r="AT34" s="390"/>
      <c r="AU34" s="390"/>
      <c r="AV34" s="390"/>
      <c r="AW34" s="390"/>
      <c r="AX34" s="390"/>
      <c r="AY34" s="390"/>
      <c r="AZ34" s="390"/>
      <c r="BA34" s="390"/>
      <c r="BB34" s="390"/>
    </row>
    <row r="35" spans="1:54" ht="15.75" x14ac:dyDescent="0.25">
      <c r="A35" s="296">
        <v>5</v>
      </c>
      <c r="B35" s="360" t="s">
        <v>206</v>
      </c>
      <c r="C35" s="304">
        <f t="shared" si="21"/>
        <v>203</v>
      </c>
      <c r="D35" s="304">
        <f t="shared" si="22"/>
        <v>243600</v>
      </c>
      <c r="E35" s="304">
        <f t="shared" si="24"/>
        <v>403</v>
      </c>
      <c r="F35" s="304">
        <f t="shared" si="25"/>
        <v>483600</v>
      </c>
      <c r="G35" s="305">
        <f t="shared" si="26"/>
        <v>1.9852216748768472</v>
      </c>
      <c r="H35" s="381">
        <f t="shared" si="27"/>
        <v>1.9852216748768472</v>
      </c>
      <c r="I35" s="386"/>
      <c r="J35" s="387"/>
      <c r="K35" s="306">
        <v>84</v>
      </c>
      <c r="L35" s="304">
        <v>100800</v>
      </c>
      <c r="M35" s="355">
        <v>162</v>
      </c>
      <c r="N35" s="355">
        <v>194400</v>
      </c>
      <c r="O35" s="305">
        <f t="shared" si="28"/>
        <v>1.9285714285714286</v>
      </c>
      <c r="P35" s="305">
        <f t="shared" si="29"/>
        <v>1.9285714285714286</v>
      </c>
      <c r="Q35" s="306">
        <v>70</v>
      </c>
      <c r="R35" s="304">
        <v>84000</v>
      </c>
      <c r="S35" s="355">
        <v>104</v>
      </c>
      <c r="T35" s="355">
        <v>124800</v>
      </c>
      <c r="U35" s="305">
        <f t="shared" si="30"/>
        <v>1.4857142857142858</v>
      </c>
      <c r="V35" s="305">
        <f t="shared" si="31"/>
        <v>1.4857142857142858</v>
      </c>
      <c r="W35" s="307">
        <v>49</v>
      </c>
      <c r="X35" s="304">
        <v>58800</v>
      </c>
      <c r="Y35" s="355">
        <v>137</v>
      </c>
      <c r="Z35" s="355">
        <v>164400</v>
      </c>
      <c r="AA35" s="305">
        <f t="shared" si="32"/>
        <v>2.795918367346939</v>
      </c>
      <c r="AB35" s="308">
        <f t="shared" si="33"/>
        <v>2.795918367346939</v>
      </c>
      <c r="AC35" s="429">
        <f t="shared" si="23"/>
        <v>1200</v>
      </c>
      <c r="AE35" s="294"/>
      <c r="AF35" s="294"/>
      <c r="AG35" s="294"/>
      <c r="AH35" s="391"/>
      <c r="AI35" s="391"/>
      <c r="AJ35" s="391"/>
      <c r="AK35" s="391"/>
      <c r="AL35" s="391"/>
      <c r="AM35" s="391"/>
      <c r="AN35" s="390"/>
      <c r="AO35" s="390"/>
      <c r="AP35" s="390"/>
      <c r="AQ35" s="390"/>
      <c r="AR35" s="390"/>
      <c r="AS35" s="390"/>
      <c r="AT35" s="390"/>
      <c r="AU35" s="390"/>
      <c r="AV35" s="390"/>
      <c r="AW35" s="390"/>
      <c r="AX35" s="390"/>
      <c r="AY35" s="390"/>
      <c r="AZ35" s="390"/>
      <c r="BA35" s="390"/>
      <c r="BB35" s="390"/>
    </row>
    <row r="36" spans="1:54" ht="15.75" x14ac:dyDescent="0.25">
      <c r="A36" s="296">
        <v>6</v>
      </c>
      <c r="B36" s="359" t="s">
        <v>174</v>
      </c>
      <c r="C36" s="304">
        <f t="shared" si="21"/>
        <v>270</v>
      </c>
      <c r="D36" s="304">
        <f t="shared" si="22"/>
        <v>324000</v>
      </c>
      <c r="E36" s="304">
        <f t="shared" si="24"/>
        <v>0</v>
      </c>
      <c r="F36" s="304">
        <f t="shared" si="25"/>
        <v>0</v>
      </c>
      <c r="G36" s="305">
        <f t="shared" si="26"/>
        <v>0</v>
      </c>
      <c r="H36" s="381">
        <f t="shared" si="27"/>
        <v>0</v>
      </c>
      <c r="I36" s="386"/>
      <c r="J36" s="387"/>
      <c r="K36" s="306">
        <v>114</v>
      </c>
      <c r="L36" s="304">
        <v>136799.99999999997</v>
      </c>
      <c r="M36" s="355"/>
      <c r="N36" s="355"/>
      <c r="O36" s="305">
        <f t="shared" si="28"/>
        <v>0</v>
      </c>
      <c r="P36" s="305">
        <f t="shared" si="29"/>
        <v>0</v>
      </c>
      <c r="Q36" s="306">
        <v>84</v>
      </c>
      <c r="R36" s="304">
        <v>100800</v>
      </c>
      <c r="S36" s="355"/>
      <c r="T36" s="355"/>
      <c r="U36" s="305">
        <f t="shared" si="30"/>
        <v>0</v>
      </c>
      <c r="V36" s="305">
        <f t="shared" si="31"/>
        <v>0</v>
      </c>
      <c r="W36" s="307">
        <v>72</v>
      </c>
      <c r="X36" s="304">
        <v>86400</v>
      </c>
      <c r="Y36" s="355"/>
      <c r="Z36" s="355"/>
      <c r="AA36" s="305">
        <f t="shared" si="32"/>
        <v>0</v>
      </c>
      <c r="AB36" s="308">
        <f t="shared" si="33"/>
        <v>0</v>
      </c>
      <c r="AC36" s="429" t="e">
        <f t="shared" si="23"/>
        <v>#DIV/0!</v>
      </c>
      <c r="AE36" s="294"/>
      <c r="AF36" s="294"/>
      <c r="AG36" s="294"/>
      <c r="AH36" s="391"/>
      <c r="AI36" s="391"/>
      <c r="AJ36" s="391"/>
      <c r="AK36" s="391"/>
      <c r="AL36" s="391"/>
      <c r="AM36" s="391"/>
      <c r="AN36" s="390"/>
      <c r="AO36" s="390"/>
      <c r="AP36" s="390"/>
      <c r="AQ36" s="390"/>
      <c r="AR36" s="390"/>
      <c r="AS36" s="390"/>
      <c r="AT36" s="390"/>
      <c r="AU36" s="390"/>
      <c r="AV36" s="390"/>
      <c r="AW36" s="390"/>
      <c r="AX36" s="390"/>
      <c r="AY36" s="390"/>
      <c r="AZ36" s="390"/>
      <c r="BA36" s="390"/>
      <c r="BB36" s="390"/>
    </row>
    <row r="37" spans="1:54" ht="15.75" x14ac:dyDescent="0.25">
      <c r="A37" s="296">
        <v>7</v>
      </c>
      <c r="B37" s="360" t="s">
        <v>151</v>
      </c>
      <c r="C37" s="304">
        <f t="shared" si="21"/>
        <v>165</v>
      </c>
      <c r="D37" s="304">
        <f t="shared" si="22"/>
        <v>198000</v>
      </c>
      <c r="E37" s="304">
        <f t="shared" si="24"/>
        <v>495</v>
      </c>
      <c r="F37" s="304">
        <f t="shared" si="25"/>
        <v>594000</v>
      </c>
      <c r="G37" s="305">
        <f t="shared" si="26"/>
        <v>3</v>
      </c>
      <c r="H37" s="381">
        <f t="shared" si="27"/>
        <v>3</v>
      </c>
      <c r="I37" s="386"/>
      <c r="J37" s="387"/>
      <c r="K37" s="306">
        <v>69</v>
      </c>
      <c r="L37" s="304">
        <v>82800</v>
      </c>
      <c r="M37" s="355">
        <v>115</v>
      </c>
      <c r="N37" s="355">
        <v>138000</v>
      </c>
      <c r="O37" s="305">
        <f t="shared" si="28"/>
        <v>1.6666666666666667</v>
      </c>
      <c r="P37" s="305">
        <f t="shared" si="29"/>
        <v>1.6666666666666667</v>
      </c>
      <c r="Q37" s="306">
        <v>57</v>
      </c>
      <c r="R37" s="304">
        <v>68400</v>
      </c>
      <c r="S37" s="355">
        <v>200</v>
      </c>
      <c r="T37" s="355">
        <v>240000</v>
      </c>
      <c r="U37" s="305">
        <f t="shared" si="30"/>
        <v>3.5087719298245612</v>
      </c>
      <c r="V37" s="305">
        <f t="shared" si="31"/>
        <v>3.5087719298245612</v>
      </c>
      <c r="W37" s="307">
        <v>39</v>
      </c>
      <c r="X37" s="304">
        <v>46800</v>
      </c>
      <c r="Y37" s="355">
        <v>180</v>
      </c>
      <c r="Z37" s="355">
        <v>216000</v>
      </c>
      <c r="AA37" s="305">
        <f t="shared" si="32"/>
        <v>4.615384615384615</v>
      </c>
      <c r="AB37" s="308">
        <f t="shared" si="33"/>
        <v>4.615384615384615</v>
      </c>
      <c r="AC37" s="429">
        <f t="shared" si="23"/>
        <v>1200</v>
      </c>
      <c r="AE37" s="294"/>
      <c r="AF37" s="294"/>
      <c r="AG37" s="294"/>
      <c r="AH37" s="391"/>
      <c r="AI37" s="391"/>
      <c r="AJ37" s="391"/>
      <c r="AK37" s="391"/>
      <c r="AL37" s="391"/>
      <c r="AM37" s="391"/>
      <c r="AN37" s="390"/>
      <c r="AO37" s="390"/>
      <c r="AP37" s="390"/>
      <c r="AQ37" s="390"/>
      <c r="AR37" s="390"/>
      <c r="AS37" s="390"/>
      <c r="AT37" s="390"/>
      <c r="AU37" s="390"/>
      <c r="AV37" s="390"/>
      <c r="AW37" s="390"/>
      <c r="AX37" s="390"/>
      <c r="AY37" s="390"/>
      <c r="AZ37" s="390"/>
      <c r="BA37" s="390"/>
      <c r="BB37" s="390"/>
    </row>
    <row r="38" spans="1:54" ht="15.75" x14ac:dyDescent="0.25">
      <c r="A38" s="296">
        <v>8</v>
      </c>
      <c r="B38" s="360" t="s">
        <v>207</v>
      </c>
      <c r="C38" s="304">
        <f t="shared" si="21"/>
        <v>600</v>
      </c>
      <c r="D38" s="304">
        <f t="shared" si="22"/>
        <v>720000</v>
      </c>
      <c r="E38" s="304">
        <f t="shared" si="24"/>
        <v>1598</v>
      </c>
      <c r="F38" s="304">
        <f t="shared" si="25"/>
        <v>1317600</v>
      </c>
      <c r="G38" s="305">
        <f t="shared" si="26"/>
        <v>2.6633333333333336</v>
      </c>
      <c r="H38" s="381">
        <f t="shared" si="27"/>
        <v>1.83</v>
      </c>
      <c r="I38" s="386" t="s">
        <v>559</v>
      </c>
      <c r="J38" s="387">
        <v>2400</v>
      </c>
      <c r="K38" s="306">
        <v>241</v>
      </c>
      <c r="L38" s="304">
        <v>289200</v>
      </c>
      <c r="M38" s="355">
        <v>559</v>
      </c>
      <c r="N38" s="355">
        <v>478800</v>
      </c>
      <c r="O38" s="305">
        <f t="shared" si="28"/>
        <v>2.3195020746887969</v>
      </c>
      <c r="P38" s="305">
        <f t="shared" si="29"/>
        <v>1.6556016597510372</v>
      </c>
      <c r="Q38" s="306">
        <v>201</v>
      </c>
      <c r="R38" s="304">
        <v>241200</v>
      </c>
      <c r="S38" s="355">
        <v>531</v>
      </c>
      <c r="T38" s="355">
        <v>439200</v>
      </c>
      <c r="U38" s="305">
        <f t="shared" si="30"/>
        <v>2.6417910447761193</v>
      </c>
      <c r="V38" s="305">
        <f t="shared" si="31"/>
        <v>1.8208955223880596</v>
      </c>
      <c r="W38" s="307">
        <v>158</v>
      </c>
      <c r="X38" s="304">
        <v>189600</v>
      </c>
      <c r="Y38" s="355">
        <v>508</v>
      </c>
      <c r="Z38" s="355">
        <v>399600</v>
      </c>
      <c r="AA38" s="305">
        <f t="shared" si="32"/>
        <v>3.2151898734177213</v>
      </c>
      <c r="AB38" s="308">
        <f t="shared" si="33"/>
        <v>2.1075949367088609</v>
      </c>
      <c r="AC38" s="429">
        <f t="shared" si="23"/>
        <v>824.53066332916148</v>
      </c>
      <c r="AE38" s="424"/>
      <c r="AF38" s="424"/>
      <c r="AG38" s="424"/>
      <c r="AH38" s="425">
        <v>239</v>
      </c>
      <c r="AI38" s="425">
        <v>1200</v>
      </c>
      <c r="AJ38" s="425">
        <f>AI38*AH38</f>
        <v>286800</v>
      </c>
      <c r="AK38" s="425"/>
      <c r="AL38" s="425">
        <v>320</v>
      </c>
      <c r="AM38" s="425">
        <v>600</v>
      </c>
      <c r="AN38" s="425">
        <v>192000</v>
      </c>
      <c r="AO38" s="425">
        <v>201</v>
      </c>
      <c r="AP38" s="425">
        <v>1200</v>
      </c>
      <c r="AQ38" s="425">
        <v>241200</v>
      </c>
      <c r="AR38" s="425"/>
      <c r="AS38" s="425">
        <v>330</v>
      </c>
      <c r="AT38" s="425">
        <v>600</v>
      </c>
      <c r="AU38" s="425">
        <v>198000</v>
      </c>
      <c r="AV38" s="427">
        <v>158</v>
      </c>
      <c r="AW38" s="427">
        <v>1200</v>
      </c>
      <c r="AX38" s="427">
        <f>AW38*AV38</f>
        <v>189600</v>
      </c>
      <c r="AY38" s="427"/>
      <c r="AZ38" s="427">
        <v>350</v>
      </c>
      <c r="BA38" s="427">
        <v>600</v>
      </c>
      <c r="BB38" s="427">
        <f>BA38*AZ38</f>
        <v>210000</v>
      </c>
    </row>
    <row r="39" spans="1:54" ht="15.75" x14ac:dyDescent="0.25">
      <c r="A39" s="296">
        <v>9</v>
      </c>
      <c r="B39" s="360" t="s">
        <v>153</v>
      </c>
      <c r="C39" s="304">
        <f t="shared" si="21"/>
        <v>305</v>
      </c>
      <c r="D39" s="304">
        <f t="shared" si="22"/>
        <v>366000</v>
      </c>
      <c r="E39" s="304">
        <f t="shared" si="24"/>
        <v>305</v>
      </c>
      <c r="F39" s="304">
        <f t="shared" si="25"/>
        <v>366000</v>
      </c>
      <c r="G39" s="305">
        <f t="shared" si="26"/>
        <v>1</v>
      </c>
      <c r="H39" s="381">
        <f t="shared" si="27"/>
        <v>1</v>
      </c>
      <c r="I39" s="386"/>
      <c r="J39" s="387"/>
      <c r="K39" s="306">
        <v>129</v>
      </c>
      <c r="L39" s="304">
        <v>154800</v>
      </c>
      <c r="M39" s="355">
        <v>129</v>
      </c>
      <c r="N39" s="355">
        <v>154800</v>
      </c>
      <c r="O39" s="305">
        <f t="shared" si="28"/>
        <v>1</v>
      </c>
      <c r="P39" s="305">
        <f t="shared" si="29"/>
        <v>1</v>
      </c>
      <c r="Q39" s="306">
        <v>112</v>
      </c>
      <c r="R39" s="304">
        <v>134400</v>
      </c>
      <c r="S39" s="355">
        <v>112</v>
      </c>
      <c r="T39" s="355">
        <v>134400</v>
      </c>
      <c r="U39" s="305">
        <f t="shared" si="30"/>
        <v>1</v>
      </c>
      <c r="V39" s="305">
        <f t="shared" si="31"/>
        <v>1</v>
      </c>
      <c r="W39" s="307">
        <v>64</v>
      </c>
      <c r="X39" s="304">
        <v>76800</v>
      </c>
      <c r="Y39" s="355">
        <v>64</v>
      </c>
      <c r="Z39" s="355">
        <v>76800</v>
      </c>
      <c r="AA39" s="305">
        <f t="shared" si="32"/>
        <v>1</v>
      </c>
      <c r="AB39" s="308">
        <f t="shared" si="33"/>
        <v>1</v>
      </c>
      <c r="AC39" s="429">
        <f t="shared" si="23"/>
        <v>1200</v>
      </c>
      <c r="AE39" s="424"/>
      <c r="AF39" s="424"/>
      <c r="AG39" s="424"/>
      <c r="AH39" s="425"/>
      <c r="AI39" s="425"/>
      <c r="AJ39" s="425"/>
      <c r="AK39" s="425"/>
      <c r="AL39" s="425"/>
      <c r="AM39" s="425"/>
      <c r="AN39" s="390"/>
      <c r="AO39" s="390"/>
      <c r="AP39" s="390"/>
      <c r="AQ39" s="390"/>
      <c r="AR39" s="390"/>
      <c r="AS39" s="390"/>
      <c r="AT39" s="390"/>
      <c r="AU39" s="390"/>
      <c r="AV39" s="390"/>
      <c r="AW39" s="390"/>
      <c r="AX39" s="390"/>
      <c r="AY39" s="390"/>
      <c r="AZ39" s="390"/>
      <c r="BA39" s="390"/>
      <c r="BB39" s="390"/>
    </row>
    <row r="40" spans="1:54" ht="15.75" x14ac:dyDescent="0.25">
      <c r="A40" s="296">
        <v>10</v>
      </c>
      <c r="B40" s="360" t="s">
        <v>154</v>
      </c>
      <c r="C40" s="304">
        <f t="shared" si="21"/>
        <v>140</v>
      </c>
      <c r="D40" s="304">
        <f t="shared" si="22"/>
        <v>168000</v>
      </c>
      <c r="E40" s="304">
        <f t="shared" si="24"/>
        <v>376</v>
      </c>
      <c r="F40" s="304">
        <f t="shared" si="25"/>
        <v>451200</v>
      </c>
      <c r="G40" s="305">
        <f t="shared" si="26"/>
        <v>2.6857142857142855</v>
      </c>
      <c r="H40" s="381">
        <f t="shared" si="27"/>
        <v>2.6857142857142855</v>
      </c>
      <c r="I40" s="386" t="s">
        <v>559</v>
      </c>
      <c r="J40" s="387">
        <v>1200</v>
      </c>
      <c r="K40" s="306">
        <v>56</v>
      </c>
      <c r="L40" s="304">
        <v>67200</v>
      </c>
      <c r="M40" s="355">
        <v>150</v>
      </c>
      <c r="N40" s="355">
        <v>180000</v>
      </c>
      <c r="O40" s="305">
        <f t="shared" si="28"/>
        <v>2.6785714285714284</v>
      </c>
      <c r="P40" s="305">
        <f t="shared" si="29"/>
        <v>2.6785714285714284</v>
      </c>
      <c r="Q40" s="306">
        <v>51</v>
      </c>
      <c r="R40" s="304">
        <v>61200</v>
      </c>
      <c r="S40" s="355">
        <v>131</v>
      </c>
      <c r="T40" s="355">
        <v>157200</v>
      </c>
      <c r="U40" s="305">
        <f t="shared" si="30"/>
        <v>2.5686274509803924</v>
      </c>
      <c r="V40" s="305">
        <f t="shared" si="31"/>
        <v>2.5686274509803924</v>
      </c>
      <c r="W40" s="307">
        <v>33</v>
      </c>
      <c r="X40" s="304">
        <v>39600</v>
      </c>
      <c r="Y40" s="355">
        <v>95</v>
      </c>
      <c r="Z40" s="355">
        <v>114000</v>
      </c>
      <c r="AA40" s="305">
        <f t="shared" si="32"/>
        <v>2.8787878787878789</v>
      </c>
      <c r="AB40" s="308">
        <f t="shared" si="33"/>
        <v>2.8787878787878789</v>
      </c>
      <c r="AC40" s="429">
        <f t="shared" si="23"/>
        <v>1200</v>
      </c>
      <c r="AE40" s="424"/>
      <c r="AF40" s="424"/>
      <c r="AG40" s="424"/>
      <c r="AH40" s="425"/>
      <c r="AI40" s="425"/>
      <c r="AJ40" s="425"/>
      <c r="AK40" s="425"/>
      <c r="AL40" s="425"/>
      <c r="AM40" s="425"/>
      <c r="AN40" s="390"/>
      <c r="AO40" s="390"/>
      <c r="AP40" s="390"/>
      <c r="AQ40" s="390"/>
      <c r="AR40" s="390"/>
      <c r="AS40" s="390"/>
      <c r="AT40" s="390"/>
      <c r="AU40" s="390"/>
      <c r="AV40" s="390"/>
      <c r="AW40" s="390"/>
      <c r="AX40" s="390"/>
      <c r="AY40" s="390"/>
      <c r="AZ40" s="390"/>
      <c r="BA40" s="390"/>
      <c r="BB40" s="390"/>
    </row>
    <row r="41" spans="1:54" ht="15.75" x14ac:dyDescent="0.25">
      <c r="A41" s="296">
        <v>11</v>
      </c>
      <c r="B41" s="360" t="s">
        <v>15</v>
      </c>
      <c r="C41" s="304">
        <f t="shared" si="21"/>
        <v>120</v>
      </c>
      <c r="D41" s="304">
        <f t="shared" si="22"/>
        <v>144000</v>
      </c>
      <c r="E41" s="304">
        <f t="shared" si="24"/>
        <v>88</v>
      </c>
      <c r="F41" s="304">
        <f t="shared" si="25"/>
        <v>105600</v>
      </c>
      <c r="G41" s="305">
        <f t="shared" si="26"/>
        <v>0.73333333333333328</v>
      </c>
      <c r="H41" s="381">
        <f t="shared" si="27"/>
        <v>0.73333333333333328</v>
      </c>
      <c r="I41" s="386"/>
      <c r="J41" s="387"/>
      <c r="K41" s="306">
        <v>50</v>
      </c>
      <c r="L41" s="304">
        <v>60000</v>
      </c>
      <c r="M41" s="355">
        <v>30</v>
      </c>
      <c r="N41" s="355">
        <v>36000</v>
      </c>
      <c r="O41" s="305">
        <f t="shared" si="28"/>
        <v>0.6</v>
      </c>
      <c r="P41" s="305">
        <f t="shared" si="29"/>
        <v>0.6</v>
      </c>
      <c r="Q41" s="306">
        <v>40</v>
      </c>
      <c r="R41" s="304">
        <v>48000</v>
      </c>
      <c r="S41" s="355">
        <v>43</v>
      </c>
      <c r="T41" s="355">
        <v>51600</v>
      </c>
      <c r="U41" s="305">
        <f t="shared" si="30"/>
        <v>1.075</v>
      </c>
      <c r="V41" s="305">
        <f t="shared" si="31"/>
        <v>1.075</v>
      </c>
      <c r="W41" s="307">
        <v>30</v>
      </c>
      <c r="X41" s="304">
        <v>36000</v>
      </c>
      <c r="Y41" s="355">
        <v>15</v>
      </c>
      <c r="Z41" s="355">
        <v>18000</v>
      </c>
      <c r="AA41" s="305">
        <f t="shared" si="32"/>
        <v>0.5</v>
      </c>
      <c r="AB41" s="308">
        <f t="shared" si="33"/>
        <v>0.5</v>
      </c>
      <c r="AC41" s="429">
        <f t="shared" si="23"/>
        <v>1200</v>
      </c>
      <c r="AE41" s="424"/>
      <c r="AF41" s="424"/>
      <c r="AG41" s="424"/>
      <c r="AH41" s="425"/>
      <c r="AI41" s="425"/>
      <c r="AJ41" s="425"/>
      <c r="AK41" s="425"/>
      <c r="AL41" s="425"/>
      <c r="AM41" s="425"/>
      <c r="AN41" s="390"/>
      <c r="AO41" s="390"/>
      <c r="AP41" s="390"/>
      <c r="AQ41" s="390"/>
      <c r="AR41" s="390"/>
      <c r="AS41" s="390"/>
      <c r="AT41" s="390"/>
      <c r="AU41" s="390"/>
      <c r="AV41" s="390"/>
      <c r="AW41" s="390"/>
      <c r="AX41" s="390"/>
      <c r="AY41" s="390"/>
      <c r="AZ41" s="390"/>
      <c r="BA41" s="390"/>
      <c r="BB41" s="390"/>
    </row>
    <row r="42" spans="1:54" ht="15.75" x14ac:dyDescent="0.25">
      <c r="A42" s="296">
        <v>12</v>
      </c>
      <c r="B42" s="360" t="s">
        <v>155</v>
      </c>
      <c r="C42" s="304">
        <f t="shared" si="21"/>
        <v>400</v>
      </c>
      <c r="D42" s="304">
        <f t="shared" si="22"/>
        <v>480000</v>
      </c>
      <c r="E42" s="304">
        <f t="shared" si="24"/>
        <v>397</v>
      </c>
      <c r="F42" s="304">
        <f t="shared" si="25"/>
        <v>476400</v>
      </c>
      <c r="G42" s="305">
        <f t="shared" si="26"/>
        <v>0.99250000000000005</v>
      </c>
      <c r="H42" s="381">
        <f t="shared" si="27"/>
        <v>0.99250000000000005</v>
      </c>
      <c r="I42" s="394" t="s">
        <v>560</v>
      </c>
      <c r="J42" s="387">
        <v>4800</v>
      </c>
      <c r="K42" s="306">
        <v>164</v>
      </c>
      <c r="L42" s="304">
        <v>196800</v>
      </c>
      <c r="M42" s="355">
        <v>164</v>
      </c>
      <c r="N42" s="355">
        <v>196800</v>
      </c>
      <c r="O42" s="305">
        <f t="shared" si="28"/>
        <v>1</v>
      </c>
      <c r="P42" s="305">
        <f t="shared" si="29"/>
        <v>1</v>
      </c>
      <c r="Q42" s="306">
        <v>116</v>
      </c>
      <c r="R42" s="304">
        <v>139200</v>
      </c>
      <c r="S42" s="355">
        <v>116</v>
      </c>
      <c r="T42" s="355">
        <v>139200</v>
      </c>
      <c r="U42" s="305">
        <f t="shared" si="30"/>
        <v>1</v>
      </c>
      <c r="V42" s="305">
        <f t="shared" si="31"/>
        <v>1</v>
      </c>
      <c r="W42" s="307">
        <v>120</v>
      </c>
      <c r="X42" s="304">
        <v>144000</v>
      </c>
      <c r="Y42" s="355">
        <v>117</v>
      </c>
      <c r="Z42" s="355">
        <v>140400</v>
      </c>
      <c r="AA42" s="305">
        <f t="shared" si="32"/>
        <v>0.97499999999999998</v>
      </c>
      <c r="AB42" s="308">
        <f t="shared" si="33"/>
        <v>0.97499999999999998</v>
      </c>
      <c r="AC42" s="429">
        <f t="shared" si="23"/>
        <v>1200</v>
      </c>
      <c r="AE42" s="424" t="s">
        <v>561</v>
      </c>
      <c r="AF42" s="424">
        <v>3600</v>
      </c>
      <c r="AG42" s="424"/>
      <c r="AH42" s="425"/>
      <c r="AI42" s="425"/>
      <c r="AJ42" s="425"/>
      <c r="AK42" s="425"/>
      <c r="AL42" s="425"/>
      <c r="AM42" s="425"/>
      <c r="AN42" s="390"/>
      <c r="AO42" s="390"/>
      <c r="AP42" s="390"/>
      <c r="AQ42" s="390"/>
      <c r="AR42" s="390"/>
      <c r="AS42" s="390"/>
      <c r="AT42" s="390"/>
      <c r="AU42" s="390"/>
      <c r="AV42" s="390"/>
      <c r="AW42" s="390"/>
      <c r="AX42" s="390"/>
      <c r="AY42" s="390"/>
      <c r="AZ42" s="390"/>
      <c r="BA42" s="390"/>
      <c r="BB42" s="390"/>
    </row>
    <row r="43" spans="1:54" ht="15.75" x14ac:dyDescent="0.25">
      <c r="A43" s="296">
        <v>13</v>
      </c>
      <c r="B43" s="359" t="s">
        <v>17</v>
      </c>
      <c r="C43" s="304">
        <f t="shared" si="21"/>
        <v>328</v>
      </c>
      <c r="D43" s="304">
        <f t="shared" si="22"/>
        <v>393600</v>
      </c>
      <c r="E43" s="304">
        <f t="shared" si="24"/>
        <v>652</v>
      </c>
      <c r="F43" s="304">
        <f t="shared" si="25"/>
        <v>393000</v>
      </c>
      <c r="G43" s="305">
        <f t="shared" si="26"/>
        <v>1.9878048780487805</v>
      </c>
      <c r="H43" s="381">
        <f t="shared" si="27"/>
        <v>0.99847560975609762</v>
      </c>
      <c r="I43" s="386" t="s">
        <v>559</v>
      </c>
      <c r="J43" s="387">
        <v>600</v>
      </c>
      <c r="K43" s="306">
        <v>74</v>
      </c>
      <c r="L43" s="304">
        <v>88800</v>
      </c>
      <c r="M43" s="355">
        <v>287</v>
      </c>
      <c r="N43" s="355">
        <v>172800</v>
      </c>
      <c r="O43" s="305">
        <f t="shared" si="28"/>
        <v>3.8783783783783785</v>
      </c>
      <c r="P43" s="305">
        <f t="shared" si="29"/>
        <v>1.9459459459459461</v>
      </c>
      <c r="Q43" s="306">
        <v>64</v>
      </c>
      <c r="R43" s="304">
        <v>76800</v>
      </c>
      <c r="S43" s="355">
        <v>232</v>
      </c>
      <c r="T43" s="355">
        <v>139800</v>
      </c>
      <c r="U43" s="305">
        <f t="shared" si="30"/>
        <v>3.625</v>
      </c>
      <c r="V43" s="305">
        <f t="shared" si="31"/>
        <v>1.8203125</v>
      </c>
      <c r="W43" s="307">
        <v>190</v>
      </c>
      <c r="X43" s="304">
        <v>228000</v>
      </c>
      <c r="Y43" s="355">
        <v>133</v>
      </c>
      <c r="Z43" s="355">
        <v>80400</v>
      </c>
      <c r="AA43" s="305">
        <f t="shared" si="32"/>
        <v>0.7</v>
      </c>
      <c r="AB43" s="308">
        <f t="shared" si="33"/>
        <v>0.35263157894736841</v>
      </c>
      <c r="AC43" s="429">
        <f t="shared" si="23"/>
        <v>602.76073619631904</v>
      </c>
      <c r="AE43" s="424"/>
      <c r="AF43" s="424"/>
      <c r="AG43" s="424"/>
      <c r="AH43" s="425"/>
      <c r="AI43" s="425"/>
      <c r="AJ43" s="425"/>
      <c r="AK43" s="425"/>
      <c r="AL43" s="425"/>
      <c r="AM43" s="425"/>
      <c r="AN43" s="390"/>
      <c r="AO43" s="390"/>
      <c r="AP43" s="390"/>
      <c r="AQ43" s="390"/>
      <c r="AR43" s="390"/>
      <c r="AS43" s="390"/>
      <c r="AT43" s="390"/>
      <c r="AU43" s="390"/>
      <c r="AV43" s="390"/>
      <c r="AW43" s="390"/>
      <c r="AX43" s="390"/>
      <c r="AY43" s="390"/>
      <c r="AZ43" s="390"/>
      <c r="BA43" s="390"/>
      <c r="BB43" s="390"/>
    </row>
    <row r="44" spans="1:54" ht="21.75" customHeight="1" thickBot="1" x14ac:dyDescent="0.3">
      <c r="A44" s="402">
        <v>14</v>
      </c>
      <c r="B44" s="362" t="s">
        <v>18</v>
      </c>
      <c r="C44" s="309">
        <f t="shared" si="21"/>
        <v>261</v>
      </c>
      <c r="D44" s="309">
        <f t="shared" si="22"/>
        <v>313200</v>
      </c>
      <c r="E44" s="309">
        <f t="shared" si="24"/>
        <v>370</v>
      </c>
      <c r="F44" s="309">
        <f t="shared" si="25"/>
        <v>444000</v>
      </c>
      <c r="G44" s="310">
        <f t="shared" si="26"/>
        <v>1.4176245210727969</v>
      </c>
      <c r="H44" s="382">
        <f t="shared" si="27"/>
        <v>1.4176245210727969</v>
      </c>
      <c r="I44" s="388"/>
      <c r="J44" s="389"/>
      <c r="K44" s="311">
        <v>171</v>
      </c>
      <c r="L44" s="309">
        <v>205200</v>
      </c>
      <c r="M44" s="356">
        <v>171</v>
      </c>
      <c r="N44" s="356">
        <v>205200</v>
      </c>
      <c r="O44" s="310">
        <f t="shared" si="28"/>
        <v>1</v>
      </c>
      <c r="P44" s="310">
        <f t="shared" si="29"/>
        <v>1</v>
      </c>
      <c r="Q44" s="311">
        <v>51</v>
      </c>
      <c r="R44" s="309">
        <v>61200</v>
      </c>
      <c r="S44" s="356">
        <v>97</v>
      </c>
      <c r="T44" s="356">
        <v>116400</v>
      </c>
      <c r="U44" s="310">
        <f t="shared" si="30"/>
        <v>1.9019607843137254</v>
      </c>
      <c r="V44" s="310">
        <f t="shared" si="31"/>
        <v>1.9019607843137254</v>
      </c>
      <c r="W44" s="312">
        <v>39</v>
      </c>
      <c r="X44" s="309">
        <v>46800</v>
      </c>
      <c r="Y44" s="356">
        <v>102</v>
      </c>
      <c r="Z44" s="356">
        <v>122400</v>
      </c>
      <c r="AA44" s="310">
        <f t="shared" si="32"/>
        <v>2.6153846153846154</v>
      </c>
      <c r="AB44" s="313">
        <f t="shared" si="33"/>
        <v>2.6153846153846154</v>
      </c>
      <c r="AC44" s="429">
        <f t="shared" si="23"/>
        <v>1200</v>
      </c>
      <c r="AE44" s="424"/>
      <c r="AF44" s="424"/>
      <c r="AG44" s="424"/>
      <c r="AH44" s="425"/>
      <c r="AI44" s="425"/>
      <c r="AJ44" s="425"/>
      <c r="AK44" s="425"/>
      <c r="AL44" s="425"/>
      <c r="AM44" s="425"/>
      <c r="AN44" s="390"/>
      <c r="AO44" s="390"/>
      <c r="AP44" s="390"/>
      <c r="AQ44" s="390"/>
      <c r="AR44" s="390"/>
      <c r="AS44" s="390"/>
      <c r="AT44" s="390"/>
      <c r="AU44" s="390"/>
      <c r="AV44" s="390"/>
      <c r="AW44" s="390"/>
      <c r="AX44" s="390"/>
      <c r="AY44" s="390"/>
      <c r="AZ44" s="390"/>
      <c r="BA44" s="390"/>
      <c r="BB44" s="390"/>
    </row>
    <row r="45" spans="1:54" ht="18.75" x14ac:dyDescent="0.3">
      <c r="B45" s="376"/>
      <c r="AC45" s="430"/>
      <c r="AE45" s="426"/>
      <c r="AF45" s="426"/>
      <c r="AG45" s="426"/>
      <c r="AH45" s="428"/>
      <c r="AI45" s="428"/>
      <c r="AJ45" s="428"/>
      <c r="AK45" s="428"/>
      <c r="AL45" s="428"/>
      <c r="AM45" s="428"/>
      <c r="AN45" s="390"/>
      <c r="AO45" s="390"/>
      <c r="AP45" s="390"/>
      <c r="AQ45" s="390"/>
      <c r="AR45" s="390"/>
      <c r="AS45" s="390"/>
      <c r="AT45" s="390"/>
      <c r="AU45" s="390"/>
      <c r="AV45" s="390"/>
      <c r="AW45" s="390"/>
      <c r="AX45" s="390"/>
      <c r="AY45" s="390"/>
      <c r="AZ45" s="390"/>
      <c r="BA45" s="390"/>
      <c r="BB45" s="390"/>
    </row>
    <row r="46" spans="1:54" ht="19.5" thickBot="1" x14ac:dyDescent="0.35">
      <c r="B46" s="376" t="s">
        <v>551</v>
      </c>
      <c r="AA46" s="700" t="s">
        <v>194</v>
      </c>
      <c r="AB46" s="700"/>
      <c r="AC46" s="430"/>
      <c r="AE46" s="426"/>
      <c r="AF46" s="426"/>
      <c r="AG46" s="426"/>
      <c r="AH46" s="428"/>
      <c r="AI46" s="428"/>
      <c r="AJ46" s="428"/>
      <c r="AK46" s="428"/>
      <c r="AL46" s="428"/>
      <c r="AM46" s="428"/>
      <c r="AN46" s="390"/>
      <c r="AO46" s="390"/>
      <c r="AP46" s="390"/>
      <c r="AQ46" s="390"/>
      <c r="AR46" s="390"/>
      <c r="AS46" s="390"/>
      <c r="AT46" s="390"/>
      <c r="AU46" s="390"/>
      <c r="AV46" s="390"/>
      <c r="AW46" s="390"/>
      <c r="AX46" s="390"/>
      <c r="AY46" s="390"/>
      <c r="AZ46" s="390"/>
      <c r="BA46" s="390"/>
      <c r="BB46" s="390"/>
    </row>
    <row r="47" spans="1:54" ht="16.5" customHeight="1" thickBot="1" x14ac:dyDescent="0.3">
      <c r="A47" s="701" t="s">
        <v>0</v>
      </c>
      <c r="B47" s="705" t="s">
        <v>195</v>
      </c>
      <c r="C47" s="670" t="s">
        <v>196</v>
      </c>
      <c r="D47" s="671"/>
      <c r="E47" s="671"/>
      <c r="F47" s="671"/>
      <c r="G47" s="671"/>
      <c r="H47" s="672"/>
      <c r="I47" s="673" t="s">
        <v>557</v>
      </c>
      <c r="J47" s="674"/>
      <c r="K47" s="679" t="s">
        <v>197</v>
      </c>
      <c r="L47" s="680"/>
      <c r="M47" s="680"/>
      <c r="N47" s="680"/>
      <c r="O47" s="680"/>
      <c r="P47" s="680"/>
      <c r="Q47" s="680"/>
      <c r="R47" s="680"/>
      <c r="S47" s="680"/>
      <c r="T47" s="680"/>
      <c r="U47" s="680"/>
      <c r="V47" s="680"/>
      <c r="W47" s="680"/>
      <c r="X47" s="680"/>
      <c r="Y47" s="680"/>
      <c r="Z47" s="680"/>
      <c r="AA47" s="680"/>
      <c r="AB47" s="681"/>
      <c r="AC47" s="430"/>
      <c r="AE47" s="426"/>
      <c r="AF47" s="426"/>
      <c r="AG47" s="426"/>
      <c r="AH47" s="428"/>
      <c r="AI47" s="428"/>
      <c r="AJ47" s="428"/>
      <c r="AK47" s="428"/>
      <c r="AL47" s="428"/>
      <c r="AM47" s="428"/>
      <c r="AN47" s="390"/>
      <c r="AO47" s="390"/>
      <c r="AP47" s="390"/>
      <c r="AQ47" s="390"/>
      <c r="AR47" s="390"/>
      <c r="AS47" s="390"/>
      <c r="AT47" s="390"/>
      <c r="AU47" s="390"/>
      <c r="AV47" s="390"/>
      <c r="AW47" s="390"/>
      <c r="AX47" s="390"/>
      <c r="AY47" s="390"/>
      <c r="AZ47" s="390"/>
      <c r="BA47" s="390"/>
      <c r="BB47" s="390"/>
    </row>
    <row r="48" spans="1:54" ht="15.75" x14ac:dyDescent="0.25">
      <c r="A48" s="702"/>
      <c r="B48" s="706"/>
      <c r="C48" s="682" t="s">
        <v>143</v>
      </c>
      <c r="D48" s="683"/>
      <c r="E48" s="686" t="s">
        <v>198</v>
      </c>
      <c r="F48" s="683"/>
      <c r="G48" s="686" t="s">
        <v>199</v>
      </c>
      <c r="H48" s="688"/>
      <c r="I48" s="675"/>
      <c r="J48" s="676"/>
      <c r="K48" s="690" t="s">
        <v>200</v>
      </c>
      <c r="L48" s="691"/>
      <c r="M48" s="691"/>
      <c r="N48" s="691"/>
      <c r="O48" s="691"/>
      <c r="P48" s="692"/>
      <c r="Q48" s="690" t="s">
        <v>201</v>
      </c>
      <c r="R48" s="691"/>
      <c r="S48" s="691"/>
      <c r="T48" s="691"/>
      <c r="U48" s="691"/>
      <c r="V48" s="692"/>
      <c r="W48" s="690" t="s">
        <v>202</v>
      </c>
      <c r="X48" s="691"/>
      <c r="Y48" s="691"/>
      <c r="Z48" s="691"/>
      <c r="AA48" s="691"/>
      <c r="AB48" s="692"/>
      <c r="AC48" s="430"/>
      <c r="AE48" s="426"/>
      <c r="AF48" s="426"/>
      <c r="AG48" s="426"/>
      <c r="AH48" s="428"/>
      <c r="AI48" s="428"/>
      <c r="AJ48" s="428"/>
      <c r="AK48" s="428"/>
      <c r="AL48" s="428"/>
      <c r="AM48" s="428"/>
      <c r="AN48" s="390"/>
      <c r="AO48" s="390"/>
      <c r="AP48" s="390"/>
      <c r="AQ48" s="390"/>
      <c r="AR48" s="390"/>
      <c r="AS48" s="390"/>
      <c r="AT48" s="390"/>
      <c r="AU48" s="390"/>
      <c r="AV48" s="390"/>
      <c r="AW48" s="390"/>
      <c r="AX48" s="390"/>
      <c r="AY48" s="390"/>
      <c r="AZ48" s="390"/>
      <c r="BA48" s="390"/>
      <c r="BB48" s="390"/>
    </row>
    <row r="49" spans="1:54" ht="15.75" x14ac:dyDescent="0.25">
      <c r="A49" s="703"/>
      <c r="B49" s="707"/>
      <c r="C49" s="684"/>
      <c r="D49" s="685"/>
      <c r="E49" s="687"/>
      <c r="F49" s="685"/>
      <c r="G49" s="687"/>
      <c r="H49" s="689"/>
      <c r="I49" s="677"/>
      <c r="J49" s="678"/>
      <c r="K49" s="693" t="s">
        <v>143</v>
      </c>
      <c r="L49" s="694"/>
      <c r="M49" s="695" t="s">
        <v>198</v>
      </c>
      <c r="N49" s="694"/>
      <c r="O49" s="695" t="s">
        <v>199</v>
      </c>
      <c r="P49" s="696"/>
      <c r="Q49" s="693" t="s">
        <v>143</v>
      </c>
      <c r="R49" s="694"/>
      <c r="S49" s="695" t="s">
        <v>198</v>
      </c>
      <c r="T49" s="694"/>
      <c r="U49" s="695" t="s">
        <v>199</v>
      </c>
      <c r="V49" s="696"/>
      <c r="W49" s="693" t="s">
        <v>143</v>
      </c>
      <c r="X49" s="694"/>
      <c r="Y49" s="695" t="s">
        <v>198</v>
      </c>
      <c r="Z49" s="694"/>
      <c r="AA49" s="695" t="s">
        <v>199</v>
      </c>
      <c r="AB49" s="696"/>
      <c r="AC49" s="430"/>
      <c r="AE49" s="426"/>
      <c r="AF49" s="426"/>
      <c r="AG49" s="426"/>
      <c r="AH49" s="428"/>
      <c r="AI49" s="428"/>
      <c r="AJ49" s="428"/>
      <c r="AK49" s="428"/>
      <c r="AL49" s="428"/>
      <c r="AM49" s="428"/>
      <c r="AN49" s="390"/>
      <c r="AO49" s="390"/>
      <c r="AP49" s="390"/>
      <c r="AQ49" s="390"/>
      <c r="AR49" s="390"/>
      <c r="AS49" s="390"/>
      <c r="AT49" s="390"/>
      <c r="AU49" s="390"/>
      <c r="AV49" s="390"/>
      <c r="AW49" s="390"/>
      <c r="AX49" s="390"/>
      <c r="AY49" s="390"/>
      <c r="AZ49" s="390"/>
      <c r="BA49" s="390"/>
      <c r="BB49" s="390"/>
    </row>
    <row r="50" spans="1:54" ht="16.5" thickBot="1" x14ac:dyDescent="0.3">
      <c r="A50" s="704"/>
      <c r="B50" s="708"/>
      <c r="C50" s="395" t="s">
        <v>203</v>
      </c>
      <c r="D50" s="290" t="s">
        <v>204</v>
      </c>
      <c r="E50" s="290" t="s">
        <v>203</v>
      </c>
      <c r="F50" s="290" t="s">
        <v>204</v>
      </c>
      <c r="G50" s="290" t="s">
        <v>203</v>
      </c>
      <c r="H50" s="290" t="s">
        <v>204</v>
      </c>
      <c r="I50" s="395" t="s">
        <v>558</v>
      </c>
      <c r="J50" s="396" t="s">
        <v>204</v>
      </c>
      <c r="K50" s="395" t="s">
        <v>203</v>
      </c>
      <c r="L50" s="290" t="s">
        <v>204</v>
      </c>
      <c r="M50" s="290" t="s">
        <v>203</v>
      </c>
      <c r="N50" s="290" t="s">
        <v>204</v>
      </c>
      <c r="O50" s="290" t="s">
        <v>203</v>
      </c>
      <c r="P50" s="290" t="s">
        <v>204</v>
      </c>
      <c r="Q50" s="395" t="s">
        <v>203</v>
      </c>
      <c r="R50" s="290" t="s">
        <v>204</v>
      </c>
      <c r="S50" s="290" t="s">
        <v>203</v>
      </c>
      <c r="T50" s="290" t="s">
        <v>204</v>
      </c>
      <c r="U50" s="290" t="s">
        <v>203</v>
      </c>
      <c r="V50" s="290" t="s">
        <v>204</v>
      </c>
      <c r="W50" s="395" t="s">
        <v>203</v>
      </c>
      <c r="X50" s="290" t="s">
        <v>204</v>
      </c>
      <c r="Y50" s="290" t="s">
        <v>203</v>
      </c>
      <c r="Z50" s="290" t="s">
        <v>204</v>
      </c>
      <c r="AA50" s="290" t="s">
        <v>203</v>
      </c>
      <c r="AB50" s="396" t="s">
        <v>204</v>
      </c>
      <c r="AC50" s="430"/>
      <c r="AE50" s="426"/>
      <c r="AF50" s="426"/>
      <c r="AG50" s="426"/>
      <c r="AH50" s="428"/>
      <c r="AI50" s="428"/>
      <c r="AJ50" s="428"/>
      <c r="AK50" s="428"/>
      <c r="AL50" s="428"/>
      <c r="AM50" s="428"/>
      <c r="AN50" s="390"/>
      <c r="AO50" s="390"/>
      <c r="AP50" s="390"/>
      <c r="AQ50" s="390"/>
      <c r="AR50" s="390"/>
      <c r="AS50" s="390"/>
      <c r="AT50" s="390"/>
      <c r="AU50" s="390"/>
      <c r="AV50" s="390"/>
      <c r="AW50" s="390"/>
      <c r="AX50" s="390"/>
      <c r="AY50" s="390"/>
      <c r="AZ50" s="390"/>
      <c r="BA50" s="390"/>
      <c r="BB50" s="390"/>
    </row>
    <row r="51" spans="1:54" ht="16.5" thickBot="1" x14ac:dyDescent="0.3">
      <c r="A51" s="719" t="s">
        <v>163</v>
      </c>
      <c r="B51" s="720"/>
      <c r="C51" s="291">
        <f t="shared" ref="C51:J51" si="34">SUM(C53:C65)</f>
        <v>3160</v>
      </c>
      <c r="D51" s="292">
        <f t="shared" si="34"/>
        <v>3792000</v>
      </c>
      <c r="E51" s="292">
        <f t="shared" si="34"/>
        <v>1049</v>
      </c>
      <c r="F51" s="292">
        <f t="shared" si="34"/>
        <v>849600</v>
      </c>
      <c r="G51" s="292" t="e">
        <f t="shared" si="34"/>
        <v>#DIV/0!</v>
      </c>
      <c r="H51" s="292" t="e">
        <f t="shared" si="34"/>
        <v>#DIV/0!</v>
      </c>
      <c r="I51" s="291">
        <f t="shared" si="34"/>
        <v>0</v>
      </c>
      <c r="J51" s="383">
        <f t="shared" si="34"/>
        <v>5988</v>
      </c>
      <c r="K51" s="291">
        <f t="shared" ref="K51:AB51" si="35">SUM(K53:K65)</f>
        <v>1719</v>
      </c>
      <c r="L51" s="292">
        <f t="shared" si="35"/>
        <v>2062800</v>
      </c>
      <c r="M51" s="292">
        <f t="shared" si="35"/>
        <v>567</v>
      </c>
      <c r="N51" s="292">
        <f t="shared" si="35"/>
        <v>433200</v>
      </c>
      <c r="O51" s="292" t="e">
        <f t="shared" si="35"/>
        <v>#DIV/0!</v>
      </c>
      <c r="P51" s="293" t="e">
        <f t="shared" si="35"/>
        <v>#DIV/0!</v>
      </c>
      <c r="Q51" s="291">
        <f t="shared" si="35"/>
        <v>865</v>
      </c>
      <c r="R51" s="292">
        <f t="shared" si="35"/>
        <v>1038000</v>
      </c>
      <c r="S51" s="292">
        <f t="shared" si="35"/>
        <v>307</v>
      </c>
      <c r="T51" s="292">
        <f t="shared" si="35"/>
        <v>266000</v>
      </c>
      <c r="U51" s="292" t="e">
        <f t="shared" si="35"/>
        <v>#DIV/0!</v>
      </c>
      <c r="V51" s="293" t="e">
        <f t="shared" si="35"/>
        <v>#DIV/0!</v>
      </c>
      <c r="W51" s="291">
        <f t="shared" si="35"/>
        <v>576</v>
      </c>
      <c r="X51" s="292">
        <f t="shared" si="35"/>
        <v>691200</v>
      </c>
      <c r="Y51" s="292">
        <f t="shared" si="35"/>
        <v>175</v>
      </c>
      <c r="Z51" s="292">
        <f t="shared" si="35"/>
        <v>150400</v>
      </c>
      <c r="AA51" s="292" t="e">
        <f t="shared" si="35"/>
        <v>#DIV/0!</v>
      </c>
      <c r="AB51" s="293" t="e">
        <f t="shared" si="35"/>
        <v>#DIV/0!</v>
      </c>
      <c r="AC51" s="430"/>
      <c r="AE51" s="426"/>
      <c r="AF51" s="426"/>
      <c r="AG51" s="426"/>
      <c r="AH51" s="428"/>
      <c r="AI51" s="428"/>
      <c r="AJ51" s="428"/>
      <c r="AK51" s="428"/>
      <c r="AL51" s="428"/>
      <c r="AM51" s="428"/>
      <c r="AN51" s="390"/>
      <c r="AO51" s="390"/>
      <c r="AP51" s="390"/>
      <c r="AQ51" s="390"/>
      <c r="AR51" s="390"/>
      <c r="AS51" s="390"/>
      <c r="AT51" s="390"/>
      <c r="AU51" s="390"/>
      <c r="AV51" s="390"/>
      <c r="AW51" s="390"/>
      <c r="AX51" s="390"/>
      <c r="AY51" s="390"/>
      <c r="AZ51" s="390"/>
      <c r="BA51" s="390"/>
      <c r="BB51" s="390"/>
    </row>
    <row r="52" spans="1:54" ht="15.75" x14ac:dyDescent="0.25">
      <c r="A52" s="296">
        <v>1</v>
      </c>
      <c r="B52" s="358" t="s">
        <v>127</v>
      </c>
      <c r="C52" s="297"/>
      <c r="D52" s="297"/>
      <c r="E52" s="297"/>
      <c r="F52" s="297"/>
      <c r="G52" s="298"/>
      <c r="H52" s="298"/>
      <c r="I52" s="384"/>
      <c r="J52" s="385"/>
      <c r="K52" s="299"/>
      <c r="L52" s="297"/>
      <c r="M52" s="354"/>
      <c r="N52" s="354"/>
      <c r="O52" s="298"/>
      <c r="P52" s="298"/>
      <c r="Q52" s="299"/>
      <c r="R52" s="297"/>
      <c r="S52" s="354"/>
      <c r="T52" s="354"/>
      <c r="U52" s="298"/>
      <c r="V52" s="298"/>
      <c r="W52" s="300"/>
      <c r="X52" s="297"/>
      <c r="Y52" s="354"/>
      <c r="Z52" s="354"/>
      <c r="AA52" s="298"/>
      <c r="AB52" s="301"/>
      <c r="AC52" s="430"/>
      <c r="AE52" s="426"/>
      <c r="AF52" s="426"/>
      <c r="AG52" s="426"/>
      <c r="AH52" s="428"/>
      <c r="AI52" s="428"/>
      <c r="AJ52" s="428"/>
      <c r="AK52" s="428"/>
      <c r="AL52" s="428"/>
      <c r="AM52" s="428"/>
      <c r="AN52" s="390"/>
      <c r="AO52" s="390"/>
      <c r="AP52" s="390"/>
      <c r="AQ52" s="390"/>
      <c r="AR52" s="390"/>
      <c r="AS52" s="390"/>
      <c r="AT52" s="390"/>
      <c r="AU52" s="390"/>
      <c r="AV52" s="390"/>
      <c r="AW52" s="390"/>
      <c r="AX52" s="390"/>
      <c r="AY52" s="390"/>
      <c r="AZ52" s="390"/>
      <c r="BA52" s="390"/>
      <c r="BB52" s="390"/>
    </row>
    <row r="53" spans="1:54" ht="15.75" x14ac:dyDescent="0.25">
      <c r="A53" s="296">
        <v>2</v>
      </c>
      <c r="B53" s="358" t="s">
        <v>205</v>
      </c>
      <c r="C53" s="297">
        <f t="shared" ref="C53:C65" si="36">+K53+Q53+W53</f>
        <v>638</v>
      </c>
      <c r="D53" s="297">
        <f t="shared" ref="D53:D65" si="37">+L53+R53+X53</f>
        <v>765600</v>
      </c>
      <c r="E53" s="297">
        <f t="shared" ref="E53:E65" si="38">+M53+S53+Y53</f>
        <v>140</v>
      </c>
      <c r="F53" s="297">
        <f t="shared" ref="F53:F65" si="39">+N53+T53+Z53</f>
        <v>84000</v>
      </c>
      <c r="G53" s="298">
        <f>+E53/C53</f>
        <v>0.21943573667711599</v>
      </c>
      <c r="H53" s="298">
        <f>+F53/D53</f>
        <v>0.109717868338558</v>
      </c>
      <c r="I53" s="384"/>
      <c r="J53" s="385"/>
      <c r="K53" s="299">
        <v>638</v>
      </c>
      <c r="L53" s="297">
        <v>765600</v>
      </c>
      <c r="M53" s="354">
        <v>70</v>
      </c>
      <c r="N53" s="354">
        <v>42000</v>
      </c>
      <c r="O53" s="298">
        <f>+M53/K53</f>
        <v>0.109717868338558</v>
      </c>
      <c r="P53" s="298">
        <f>+N53/L53</f>
        <v>5.4858934169278999E-2</v>
      </c>
      <c r="Q53" s="299">
        <v>0</v>
      </c>
      <c r="R53" s="297">
        <v>0</v>
      </c>
      <c r="S53" s="354">
        <v>70</v>
      </c>
      <c r="T53" s="354">
        <v>42000</v>
      </c>
      <c r="U53" s="298" t="e">
        <f>+S53/Q53</f>
        <v>#DIV/0!</v>
      </c>
      <c r="V53" s="298" t="e">
        <f>+T53/R53</f>
        <v>#DIV/0!</v>
      </c>
      <c r="W53" s="300"/>
      <c r="X53" s="297"/>
      <c r="Y53" s="354"/>
      <c r="Z53" s="354"/>
      <c r="AA53" s="298" t="e">
        <f>+Y53/W53</f>
        <v>#DIV/0!</v>
      </c>
      <c r="AB53" s="301" t="e">
        <f>+Z53/X53</f>
        <v>#DIV/0!</v>
      </c>
      <c r="AC53" s="430">
        <f t="shared" ref="AC53:AC65" si="40">F53/E53</f>
        <v>600</v>
      </c>
      <c r="AE53" s="439"/>
      <c r="AF53" s="426"/>
      <c r="AG53" s="426"/>
      <c r="AH53" s="428">
        <v>70</v>
      </c>
      <c r="AI53" s="428">
        <v>600</v>
      </c>
      <c r="AJ53" s="440">
        <v>42000</v>
      </c>
      <c r="AK53" s="428"/>
      <c r="AL53" s="428"/>
      <c r="AM53" s="428"/>
      <c r="AN53" s="390"/>
      <c r="AO53" s="441">
        <v>70</v>
      </c>
      <c r="AP53" s="441">
        <v>6000</v>
      </c>
      <c r="AQ53" s="442">
        <v>42000</v>
      </c>
      <c r="AR53" s="390"/>
      <c r="AS53" s="390"/>
      <c r="AT53" s="390"/>
      <c r="AU53" s="390"/>
      <c r="AV53" s="390"/>
      <c r="AW53" s="390"/>
      <c r="AX53" s="390"/>
      <c r="AY53" s="390"/>
      <c r="AZ53" s="390"/>
      <c r="BA53" s="390"/>
      <c r="BB53" s="390"/>
    </row>
    <row r="54" spans="1:54" ht="15.75" x14ac:dyDescent="0.25">
      <c r="A54" s="296">
        <v>3</v>
      </c>
      <c r="B54" s="359" t="s">
        <v>147</v>
      </c>
      <c r="C54" s="304">
        <f t="shared" si="36"/>
        <v>413</v>
      </c>
      <c r="D54" s="304">
        <f t="shared" si="37"/>
        <v>495600</v>
      </c>
      <c r="E54" s="304">
        <f t="shared" si="38"/>
        <v>0</v>
      </c>
      <c r="F54" s="304">
        <f t="shared" si="39"/>
        <v>0</v>
      </c>
      <c r="G54" s="305">
        <f t="shared" ref="G54:G65" si="41">+E54/C54</f>
        <v>0</v>
      </c>
      <c r="H54" s="305">
        <f t="shared" ref="H54:H65" si="42">+F54/D54</f>
        <v>0</v>
      </c>
      <c r="I54" s="386"/>
      <c r="J54" s="387"/>
      <c r="K54" s="306">
        <v>156</v>
      </c>
      <c r="L54" s="304">
        <v>187200</v>
      </c>
      <c r="M54" s="355"/>
      <c r="N54" s="355"/>
      <c r="O54" s="305">
        <f t="shared" ref="O54:O65" si="43">+M54/K54</f>
        <v>0</v>
      </c>
      <c r="P54" s="305">
        <f t="shared" ref="P54:P65" si="44">+N54/L54</f>
        <v>0</v>
      </c>
      <c r="Q54" s="306">
        <v>164</v>
      </c>
      <c r="R54" s="304">
        <v>196800</v>
      </c>
      <c r="S54" s="355"/>
      <c r="T54" s="355"/>
      <c r="U54" s="305">
        <f t="shared" ref="U54:U65" si="45">+S54/Q54</f>
        <v>0</v>
      </c>
      <c r="V54" s="305">
        <f t="shared" ref="V54:V65" si="46">+T54/R54</f>
        <v>0</v>
      </c>
      <c r="W54" s="307">
        <v>93</v>
      </c>
      <c r="X54" s="304">
        <v>111600</v>
      </c>
      <c r="Y54" s="355"/>
      <c r="Z54" s="355"/>
      <c r="AA54" s="305">
        <f t="shared" ref="AA54:AA65" si="47">+Y54/W54</f>
        <v>0</v>
      </c>
      <c r="AB54" s="308">
        <f t="shared" ref="AB54:AB65" si="48">+Z54/X54</f>
        <v>0</v>
      </c>
      <c r="AC54" s="430" t="e">
        <f t="shared" si="40"/>
        <v>#DIV/0!</v>
      </c>
      <c r="AE54" s="426"/>
      <c r="AF54" s="426"/>
      <c r="AG54" s="426"/>
      <c r="AH54" s="428"/>
      <c r="AI54" s="428"/>
      <c r="AJ54" s="428"/>
      <c r="AK54" s="428"/>
      <c r="AL54" s="428"/>
      <c r="AM54" s="428"/>
      <c r="AN54" s="390"/>
      <c r="AO54" s="390"/>
      <c r="AP54" s="390"/>
      <c r="AQ54" s="390"/>
      <c r="AR54" s="390"/>
      <c r="AS54" s="390"/>
      <c r="AT54" s="390"/>
      <c r="AU54" s="390"/>
      <c r="AV54" s="390"/>
      <c r="AW54" s="390"/>
      <c r="AX54" s="390"/>
      <c r="AY54" s="390"/>
      <c r="AZ54" s="390"/>
      <c r="BA54" s="390"/>
      <c r="BB54" s="390"/>
    </row>
    <row r="55" spans="1:54" ht="15.75" x14ac:dyDescent="0.25">
      <c r="A55" s="296">
        <v>4</v>
      </c>
      <c r="B55" s="359" t="s">
        <v>148</v>
      </c>
      <c r="C55" s="304">
        <f t="shared" si="36"/>
        <v>256</v>
      </c>
      <c r="D55" s="304">
        <f t="shared" si="37"/>
        <v>307200</v>
      </c>
      <c r="E55" s="304">
        <f t="shared" si="38"/>
        <v>0</v>
      </c>
      <c r="F55" s="304">
        <f t="shared" si="39"/>
        <v>0</v>
      </c>
      <c r="G55" s="305">
        <f t="shared" si="41"/>
        <v>0</v>
      </c>
      <c r="H55" s="305">
        <f t="shared" si="42"/>
        <v>0</v>
      </c>
      <c r="I55" s="386"/>
      <c r="J55" s="387"/>
      <c r="K55" s="306">
        <v>153</v>
      </c>
      <c r="L55" s="304">
        <v>183600</v>
      </c>
      <c r="M55" s="355"/>
      <c r="N55" s="355"/>
      <c r="O55" s="305">
        <f t="shared" si="43"/>
        <v>0</v>
      </c>
      <c r="P55" s="305">
        <f t="shared" si="44"/>
        <v>0</v>
      </c>
      <c r="Q55" s="306">
        <v>103</v>
      </c>
      <c r="R55" s="304">
        <v>123600</v>
      </c>
      <c r="S55" s="355"/>
      <c r="T55" s="355"/>
      <c r="U55" s="305">
        <f t="shared" si="45"/>
        <v>0</v>
      </c>
      <c r="V55" s="305">
        <f t="shared" si="46"/>
        <v>0</v>
      </c>
      <c r="W55" s="307">
        <v>0</v>
      </c>
      <c r="X55" s="304">
        <v>0</v>
      </c>
      <c r="Y55" s="355"/>
      <c r="Z55" s="355"/>
      <c r="AA55" s="305" t="e">
        <f t="shared" si="47"/>
        <v>#DIV/0!</v>
      </c>
      <c r="AB55" s="308" t="e">
        <f t="shared" si="48"/>
        <v>#DIV/0!</v>
      </c>
      <c r="AC55" s="430" t="e">
        <f t="shared" si="40"/>
        <v>#DIV/0!</v>
      </c>
      <c r="AE55" s="426"/>
      <c r="AF55" s="426"/>
      <c r="AG55" s="426"/>
      <c r="AH55" s="428"/>
      <c r="AI55" s="428"/>
      <c r="AJ55" s="428"/>
      <c r="AK55" s="428"/>
      <c r="AL55" s="428"/>
      <c r="AM55" s="428"/>
      <c r="AN55" s="390"/>
      <c r="AO55" s="390"/>
      <c r="AP55" s="390"/>
      <c r="AQ55" s="390"/>
      <c r="AR55" s="390"/>
      <c r="AS55" s="390"/>
      <c r="AT55" s="390"/>
      <c r="AU55" s="390"/>
      <c r="AV55" s="390"/>
      <c r="AW55" s="390"/>
      <c r="AX55" s="390"/>
      <c r="AY55" s="390"/>
      <c r="AZ55" s="390"/>
      <c r="BA55" s="390"/>
      <c r="BB55" s="390"/>
    </row>
    <row r="56" spans="1:54" ht="15.75" x14ac:dyDescent="0.25">
      <c r="A56" s="296">
        <v>5</v>
      </c>
      <c r="B56" s="360" t="s">
        <v>206</v>
      </c>
      <c r="C56" s="304">
        <f t="shared" si="36"/>
        <v>199</v>
      </c>
      <c r="D56" s="304">
        <f t="shared" si="37"/>
        <v>238800</v>
      </c>
      <c r="E56" s="304">
        <f t="shared" si="38"/>
        <v>0</v>
      </c>
      <c r="F56" s="304">
        <f t="shared" si="39"/>
        <v>0</v>
      </c>
      <c r="G56" s="305">
        <f t="shared" si="41"/>
        <v>0</v>
      </c>
      <c r="H56" s="305">
        <f t="shared" si="42"/>
        <v>0</v>
      </c>
      <c r="I56" s="386"/>
      <c r="J56" s="450"/>
      <c r="K56" s="306">
        <v>80</v>
      </c>
      <c r="L56" s="304">
        <v>96000</v>
      </c>
      <c r="M56" s="355"/>
      <c r="N56" s="355"/>
      <c r="O56" s="305">
        <f t="shared" si="43"/>
        <v>0</v>
      </c>
      <c r="P56" s="305">
        <f t="shared" si="44"/>
        <v>0</v>
      </c>
      <c r="Q56" s="306">
        <v>70</v>
      </c>
      <c r="R56" s="304">
        <v>84000</v>
      </c>
      <c r="S56" s="355"/>
      <c r="T56" s="355"/>
      <c r="U56" s="305">
        <f t="shared" si="45"/>
        <v>0</v>
      </c>
      <c r="V56" s="305">
        <f t="shared" si="46"/>
        <v>0</v>
      </c>
      <c r="W56" s="307">
        <v>49</v>
      </c>
      <c r="X56" s="304">
        <v>58800</v>
      </c>
      <c r="Y56" s="355"/>
      <c r="Z56" s="355"/>
      <c r="AA56" s="305">
        <f t="shared" si="47"/>
        <v>0</v>
      </c>
      <c r="AB56" s="308">
        <f t="shared" si="48"/>
        <v>0</v>
      </c>
      <c r="AC56" s="430" t="e">
        <f t="shared" si="40"/>
        <v>#DIV/0!</v>
      </c>
      <c r="AE56" s="426"/>
      <c r="AF56" s="426"/>
      <c r="AG56" s="426"/>
      <c r="AH56" s="428"/>
      <c r="AI56" s="428"/>
      <c r="AJ56" s="428"/>
      <c r="AK56" s="428"/>
      <c r="AL56" s="428"/>
      <c r="AM56" s="428"/>
      <c r="AN56" s="390"/>
      <c r="AO56" s="390"/>
      <c r="AP56" s="390"/>
      <c r="AQ56" s="390"/>
      <c r="AR56" s="390"/>
      <c r="AS56" s="390"/>
      <c r="AT56" s="390"/>
      <c r="AU56" s="390"/>
      <c r="AV56" s="390"/>
      <c r="AW56" s="390"/>
      <c r="AX56" s="390"/>
      <c r="AY56" s="390"/>
      <c r="AZ56" s="390"/>
      <c r="BA56" s="390"/>
      <c r="BB56" s="390"/>
    </row>
    <row r="57" spans="1:54" ht="15.75" x14ac:dyDescent="0.25">
      <c r="A57" s="296">
        <v>6</v>
      </c>
      <c r="B57" s="359" t="s">
        <v>174</v>
      </c>
      <c r="C57" s="304">
        <f t="shared" si="36"/>
        <v>273</v>
      </c>
      <c r="D57" s="304">
        <f t="shared" si="37"/>
        <v>327600</v>
      </c>
      <c r="E57" s="304">
        <f t="shared" si="38"/>
        <v>119</v>
      </c>
      <c r="F57" s="304">
        <f t="shared" si="39"/>
        <v>142800</v>
      </c>
      <c r="G57" s="305">
        <f t="shared" si="41"/>
        <v>0.4358974358974359</v>
      </c>
      <c r="H57" s="305">
        <f t="shared" si="42"/>
        <v>0.4358974358974359</v>
      </c>
      <c r="I57" s="386"/>
      <c r="J57" s="387"/>
      <c r="K57" s="306">
        <v>112</v>
      </c>
      <c r="L57" s="304">
        <v>134400</v>
      </c>
      <c r="M57" s="355">
        <v>55</v>
      </c>
      <c r="N57" s="355">
        <v>66000</v>
      </c>
      <c r="O57" s="305">
        <f t="shared" si="43"/>
        <v>0.49107142857142855</v>
      </c>
      <c r="P57" s="305">
        <f t="shared" si="44"/>
        <v>0.49107142857142855</v>
      </c>
      <c r="Q57" s="306">
        <v>85</v>
      </c>
      <c r="R57" s="304">
        <v>102000</v>
      </c>
      <c r="S57" s="355">
        <v>42</v>
      </c>
      <c r="T57" s="355">
        <v>50000</v>
      </c>
      <c r="U57" s="305">
        <f t="shared" si="45"/>
        <v>0.49411764705882355</v>
      </c>
      <c r="V57" s="305">
        <f t="shared" si="46"/>
        <v>0.49019607843137253</v>
      </c>
      <c r="W57" s="307">
        <v>76</v>
      </c>
      <c r="X57" s="304">
        <v>91200</v>
      </c>
      <c r="Y57" s="355">
        <v>22</v>
      </c>
      <c r="Z57" s="355">
        <v>26800</v>
      </c>
      <c r="AA57" s="305">
        <f t="shared" si="47"/>
        <v>0.28947368421052633</v>
      </c>
      <c r="AB57" s="308">
        <f t="shared" si="48"/>
        <v>0.29385964912280704</v>
      </c>
      <c r="AC57" s="430">
        <f t="shared" si="40"/>
        <v>1200</v>
      </c>
      <c r="AE57" s="426" t="s">
        <v>561</v>
      </c>
      <c r="AF57" s="424">
        <v>1200</v>
      </c>
      <c r="AG57" s="426"/>
      <c r="AH57" s="428"/>
      <c r="AI57" s="428"/>
      <c r="AJ57" s="428"/>
      <c r="AK57" s="428"/>
      <c r="AL57" s="428"/>
      <c r="AM57" s="428"/>
      <c r="AN57" s="390"/>
      <c r="AO57" s="390"/>
      <c r="AP57" s="390"/>
      <c r="AQ57" s="390"/>
      <c r="AR57" s="390"/>
      <c r="AS57" s="390"/>
      <c r="AT57" s="390"/>
      <c r="AU57" s="390"/>
      <c r="AV57" s="390"/>
      <c r="AW57" s="390"/>
      <c r="AX57" s="390"/>
      <c r="AY57" s="390"/>
      <c r="AZ57" s="390"/>
      <c r="BA57" s="390"/>
      <c r="BB57" s="390"/>
    </row>
    <row r="58" spans="1:54" ht="15.75" x14ac:dyDescent="0.25">
      <c r="A58" s="296">
        <v>7</v>
      </c>
      <c r="B58" s="360" t="s">
        <v>151</v>
      </c>
      <c r="C58" s="304">
        <f t="shared" si="36"/>
        <v>315</v>
      </c>
      <c r="D58" s="304">
        <f t="shared" si="37"/>
        <v>378000</v>
      </c>
      <c r="E58" s="304">
        <f t="shared" si="38"/>
        <v>0</v>
      </c>
      <c r="F58" s="304">
        <f t="shared" si="39"/>
        <v>0</v>
      </c>
      <c r="G58" s="305">
        <f t="shared" si="41"/>
        <v>0</v>
      </c>
      <c r="H58" s="305">
        <f t="shared" si="42"/>
        <v>0</v>
      </c>
      <c r="I58" s="386"/>
      <c r="J58" s="387"/>
      <c r="K58" s="306">
        <v>115</v>
      </c>
      <c r="L58" s="304">
        <v>138000</v>
      </c>
      <c r="M58" s="355"/>
      <c r="N58" s="355"/>
      <c r="O58" s="305">
        <f t="shared" si="43"/>
        <v>0</v>
      </c>
      <c r="P58" s="305">
        <f t="shared" si="44"/>
        <v>0</v>
      </c>
      <c r="Q58" s="306">
        <v>120</v>
      </c>
      <c r="R58" s="304">
        <v>144000</v>
      </c>
      <c r="S58" s="355"/>
      <c r="T58" s="355"/>
      <c r="U58" s="305">
        <f t="shared" si="45"/>
        <v>0</v>
      </c>
      <c r="V58" s="305">
        <f t="shared" si="46"/>
        <v>0</v>
      </c>
      <c r="W58" s="307">
        <v>80</v>
      </c>
      <c r="X58" s="304">
        <v>96000</v>
      </c>
      <c r="Y58" s="355"/>
      <c r="Z58" s="355"/>
      <c r="AA58" s="305">
        <f t="shared" si="47"/>
        <v>0</v>
      </c>
      <c r="AB58" s="308">
        <f t="shared" si="48"/>
        <v>0</v>
      </c>
      <c r="AC58" s="430" t="e">
        <f t="shared" si="40"/>
        <v>#DIV/0!</v>
      </c>
      <c r="AH58" s="390"/>
      <c r="AI58" s="390"/>
      <c r="AJ58" s="390"/>
      <c r="AK58" s="390"/>
      <c r="AL58" s="390"/>
      <c r="AM58" s="390"/>
      <c r="AN58" s="390"/>
      <c r="AO58" s="390"/>
      <c r="AP58" s="390"/>
      <c r="AQ58" s="390"/>
      <c r="AR58" s="390"/>
      <c r="AS58" s="390"/>
      <c r="AT58" s="390"/>
      <c r="AU58" s="390"/>
      <c r="AV58" s="390"/>
      <c r="AW58" s="390"/>
      <c r="AX58" s="390"/>
      <c r="AY58" s="390"/>
      <c r="AZ58" s="390"/>
      <c r="BA58" s="390"/>
      <c r="BB58" s="390"/>
    </row>
    <row r="59" spans="1:54" ht="15.75" x14ac:dyDescent="0.25">
      <c r="A59" s="296">
        <v>8</v>
      </c>
      <c r="B59" s="360" t="s">
        <v>207</v>
      </c>
      <c r="C59" s="304">
        <f t="shared" si="36"/>
        <v>535</v>
      </c>
      <c r="D59" s="304">
        <f t="shared" si="37"/>
        <v>642000</v>
      </c>
      <c r="E59" s="304">
        <f t="shared" si="38"/>
        <v>0</v>
      </c>
      <c r="F59" s="304">
        <f t="shared" si="39"/>
        <v>0</v>
      </c>
      <c r="G59" s="305">
        <f t="shared" si="41"/>
        <v>0</v>
      </c>
      <c r="H59" s="305">
        <f t="shared" si="42"/>
        <v>0</v>
      </c>
      <c r="I59" s="386"/>
      <c r="J59" s="387"/>
      <c r="K59" s="306">
        <v>206</v>
      </c>
      <c r="L59" s="304">
        <v>247200</v>
      </c>
      <c r="M59" s="355"/>
      <c r="N59" s="355"/>
      <c r="O59" s="305">
        <f t="shared" si="43"/>
        <v>0</v>
      </c>
      <c r="P59" s="305">
        <f t="shared" si="44"/>
        <v>0</v>
      </c>
      <c r="Q59" s="306">
        <v>169</v>
      </c>
      <c r="R59" s="304">
        <v>202800</v>
      </c>
      <c r="S59" s="355"/>
      <c r="T59" s="355"/>
      <c r="U59" s="305">
        <f t="shared" si="45"/>
        <v>0</v>
      </c>
      <c r="V59" s="305">
        <f t="shared" si="46"/>
        <v>0</v>
      </c>
      <c r="W59" s="307">
        <v>160</v>
      </c>
      <c r="X59" s="304">
        <v>192000</v>
      </c>
      <c r="Y59" s="355"/>
      <c r="Z59" s="355"/>
      <c r="AA59" s="305">
        <f t="shared" si="47"/>
        <v>0</v>
      </c>
      <c r="AB59" s="308">
        <f t="shared" si="48"/>
        <v>0</v>
      </c>
      <c r="AC59" s="430" t="e">
        <f t="shared" si="40"/>
        <v>#DIV/0!</v>
      </c>
      <c r="AH59" s="390"/>
      <c r="AI59" s="390"/>
      <c r="AJ59" s="390"/>
      <c r="AK59" s="390"/>
      <c r="AL59" s="390"/>
      <c r="AM59" s="390"/>
      <c r="AN59" s="390"/>
      <c r="AO59" s="390"/>
      <c r="AP59" s="390"/>
      <c r="AQ59" s="390"/>
      <c r="AR59" s="390"/>
      <c r="AS59" s="390"/>
      <c r="AT59" s="390"/>
      <c r="AU59" s="390"/>
      <c r="AV59" s="390"/>
      <c r="AW59" s="390"/>
      <c r="AX59" s="390"/>
      <c r="AY59" s="390"/>
      <c r="AZ59" s="390"/>
      <c r="BA59" s="390"/>
      <c r="BB59" s="390"/>
    </row>
    <row r="60" spans="1:54" ht="15.75" x14ac:dyDescent="0.25">
      <c r="A60" s="296">
        <v>9</v>
      </c>
      <c r="B60" s="360" t="s">
        <v>153</v>
      </c>
      <c r="C60" s="304">
        <f t="shared" si="36"/>
        <v>127</v>
      </c>
      <c r="D60" s="304">
        <f t="shared" si="37"/>
        <v>152400</v>
      </c>
      <c r="E60" s="304">
        <f t="shared" si="38"/>
        <v>0</v>
      </c>
      <c r="F60" s="304">
        <f t="shared" si="39"/>
        <v>0</v>
      </c>
      <c r="G60" s="305">
        <f t="shared" si="41"/>
        <v>0</v>
      </c>
      <c r="H60" s="305">
        <f t="shared" si="42"/>
        <v>0</v>
      </c>
      <c r="I60" s="386"/>
      <c r="J60" s="387"/>
      <c r="K60" s="306">
        <v>68</v>
      </c>
      <c r="L60" s="304">
        <v>81600</v>
      </c>
      <c r="M60" s="355"/>
      <c r="N60" s="355"/>
      <c r="O60" s="305">
        <f t="shared" si="43"/>
        <v>0</v>
      </c>
      <c r="P60" s="305">
        <f t="shared" si="44"/>
        <v>0</v>
      </c>
      <c r="Q60" s="306">
        <v>35</v>
      </c>
      <c r="R60" s="304">
        <v>42000</v>
      </c>
      <c r="S60" s="355"/>
      <c r="T60" s="355"/>
      <c r="U60" s="305">
        <f t="shared" si="45"/>
        <v>0</v>
      </c>
      <c r="V60" s="305">
        <f t="shared" si="46"/>
        <v>0</v>
      </c>
      <c r="W60" s="307">
        <v>24</v>
      </c>
      <c r="X60" s="304">
        <v>28800</v>
      </c>
      <c r="Y60" s="355"/>
      <c r="Z60" s="355"/>
      <c r="AA60" s="305">
        <f t="shared" si="47"/>
        <v>0</v>
      </c>
      <c r="AB60" s="308">
        <f t="shared" si="48"/>
        <v>0</v>
      </c>
      <c r="AC60" s="430" t="e">
        <f t="shared" si="40"/>
        <v>#DIV/0!</v>
      </c>
      <c r="AH60" s="390"/>
      <c r="AI60" s="390"/>
      <c r="AJ60" s="390"/>
      <c r="AK60" s="390"/>
      <c r="AL60" s="390"/>
      <c r="AM60" s="390"/>
      <c r="AN60" s="390"/>
      <c r="AO60" s="390"/>
      <c r="AP60" s="390"/>
      <c r="AQ60" s="390"/>
      <c r="AR60" s="390"/>
      <c r="AS60" s="390"/>
      <c r="AT60" s="390"/>
      <c r="AU60" s="390"/>
      <c r="AV60" s="390"/>
      <c r="AW60" s="390"/>
      <c r="AX60" s="390"/>
      <c r="AY60" s="390"/>
      <c r="AZ60" s="390"/>
      <c r="BA60" s="390"/>
      <c r="BB60" s="390"/>
    </row>
    <row r="61" spans="1:54" ht="15.75" x14ac:dyDescent="0.25">
      <c r="A61" s="296">
        <v>10</v>
      </c>
      <c r="B61" s="360" t="s">
        <v>154</v>
      </c>
      <c r="C61" s="304">
        <f t="shared" si="36"/>
        <v>88</v>
      </c>
      <c r="D61" s="304">
        <f t="shared" si="37"/>
        <v>105600</v>
      </c>
      <c r="E61" s="304">
        <f t="shared" si="38"/>
        <v>0</v>
      </c>
      <c r="F61" s="304">
        <f t="shared" si="39"/>
        <v>0</v>
      </c>
      <c r="G61" s="305">
        <f t="shared" si="41"/>
        <v>0</v>
      </c>
      <c r="H61" s="305">
        <f t="shared" si="42"/>
        <v>0</v>
      </c>
      <c r="I61" s="386"/>
      <c r="J61" s="387"/>
      <c r="K61" s="306">
        <v>36</v>
      </c>
      <c r="L61" s="304">
        <v>43200</v>
      </c>
      <c r="M61" s="355"/>
      <c r="N61" s="355"/>
      <c r="O61" s="305">
        <f t="shared" si="43"/>
        <v>0</v>
      </c>
      <c r="P61" s="305">
        <f t="shared" si="44"/>
        <v>0</v>
      </c>
      <c r="Q61" s="306">
        <v>28</v>
      </c>
      <c r="R61" s="304">
        <v>33600</v>
      </c>
      <c r="S61" s="355"/>
      <c r="T61" s="355"/>
      <c r="U61" s="305">
        <f t="shared" si="45"/>
        <v>0</v>
      </c>
      <c r="V61" s="305">
        <f t="shared" si="46"/>
        <v>0</v>
      </c>
      <c r="W61" s="307">
        <v>24</v>
      </c>
      <c r="X61" s="304">
        <v>28800</v>
      </c>
      <c r="Y61" s="355"/>
      <c r="Z61" s="355"/>
      <c r="AA61" s="305">
        <f t="shared" si="47"/>
        <v>0</v>
      </c>
      <c r="AB61" s="308">
        <f t="shared" si="48"/>
        <v>0</v>
      </c>
      <c r="AC61" s="430" t="e">
        <f t="shared" si="40"/>
        <v>#DIV/0!</v>
      </c>
      <c r="AH61" s="390"/>
      <c r="AI61" s="390"/>
      <c r="AJ61" s="390"/>
      <c r="AK61" s="390"/>
      <c r="AL61" s="390"/>
      <c r="AM61" s="390"/>
      <c r="AN61" s="390"/>
      <c r="AO61" s="390"/>
      <c r="AP61" s="390"/>
      <c r="AQ61" s="390"/>
      <c r="AR61" s="390"/>
      <c r="AS61" s="390"/>
      <c r="AT61" s="390"/>
      <c r="AU61" s="390"/>
      <c r="AV61" s="390"/>
      <c r="AW61" s="390"/>
      <c r="AX61" s="390"/>
      <c r="AY61" s="390"/>
      <c r="AZ61" s="390"/>
      <c r="BA61" s="390"/>
      <c r="BB61" s="390"/>
    </row>
    <row r="62" spans="1:54" ht="31.5" x14ac:dyDescent="0.25">
      <c r="A62" s="296">
        <v>11</v>
      </c>
      <c r="B62" s="360" t="s">
        <v>15</v>
      </c>
      <c r="C62" s="304">
        <f t="shared" si="36"/>
        <v>120</v>
      </c>
      <c r="D62" s="304">
        <f t="shared" si="37"/>
        <v>144000</v>
      </c>
      <c r="E62" s="304">
        <f t="shared" si="38"/>
        <v>248</v>
      </c>
      <c r="F62" s="304">
        <f t="shared" si="39"/>
        <v>297600</v>
      </c>
      <c r="G62" s="305">
        <f t="shared" si="41"/>
        <v>2.0666666666666669</v>
      </c>
      <c r="H62" s="305">
        <f t="shared" si="42"/>
        <v>2.0666666666666669</v>
      </c>
      <c r="I62" s="386" t="s">
        <v>577</v>
      </c>
      <c r="J62" s="450">
        <v>4188</v>
      </c>
      <c r="K62" s="306">
        <v>50</v>
      </c>
      <c r="L62" s="304">
        <v>60000</v>
      </c>
      <c r="M62" s="355">
        <v>100</v>
      </c>
      <c r="N62" s="355">
        <v>120000</v>
      </c>
      <c r="O62" s="305">
        <f t="shared" si="43"/>
        <v>2</v>
      </c>
      <c r="P62" s="305">
        <f t="shared" si="44"/>
        <v>2</v>
      </c>
      <c r="Q62" s="306">
        <v>40</v>
      </c>
      <c r="R62" s="304">
        <v>48000</v>
      </c>
      <c r="S62" s="355">
        <v>95</v>
      </c>
      <c r="T62" s="355">
        <v>114000</v>
      </c>
      <c r="U62" s="305">
        <f t="shared" si="45"/>
        <v>2.375</v>
      </c>
      <c r="V62" s="305">
        <f t="shared" si="46"/>
        <v>2.375</v>
      </c>
      <c r="W62" s="307">
        <v>30</v>
      </c>
      <c r="X62" s="304">
        <v>36000</v>
      </c>
      <c r="Y62" s="355">
        <v>53</v>
      </c>
      <c r="Z62" s="355">
        <v>63600</v>
      </c>
      <c r="AA62" s="305">
        <f t="shared" si="47"/>
        <v>1.7666666666666666</v>
      </c>
      <c r="AB62" s="308">
        <f t="shared" si="48"/>
        <v>1.7666666666666666</v>
      </c>
      <c r="AC62" s="430">
        <f t="shared" si="40"/>
        <v>1200</v>
      </c>
      <c r="AE62" s="357"/>
      <c r="AF62" s="357"/>
      <c r="AH62" s="390"/>
      <c r="AI62" s="390"/>
      <c r="AJ62" s="390"/>
      <c r="AK62" s="390"/>
      <c r="AL62" s="390"/>
      <c r="AM62" s="390"/>
      <c r="AN62" s="390"/>
      <c r="AO62" s="390"/>
      <c r="AP62" s="390"/>
      <c r="AQ62" s="390"/>
      <c r="AR62" s="390"/>
      <c r="AS62" s="390"/>
      <c r="AT62" s="390"/>
      <c r="AU62" s="390"/>
      <c r="AV62" s="390"/>
      <c r="AW62" s="390"/>
      <c r="AX62" s="390"/>
      <c r="AY62" s="390"/>
      <c r="AZ62" s="390"/>
      <c r="BA62" s="390"/>
      <c r="BB62" s="390"/>
    </row>
    <row r="63" spans="1:54" ht="15.75" x14ac:dyDescent="0.25">
      <c r="A63" s="296">
        <v>12</v>
      </c>
      <c r="B63" s="360" t="s">
        <v>155</v>
      </c>
      <c r="C63" s="304">
        <f t="shared" si="36"/>
        <v>0</v>
      </c>
      <c r="D63" s="304">
        <f t="shared" si="37"/>
        <v>0</v>
      </c>
      <c r="E63" s="304">
        <f t="shared" si="38"/>
        <v>300</v>
      </c>
      <c r="F63" s="304">
        <f t="shared" si="39"/>
        <v>180000</v>
      </c>
      <c r="G63" s="305" t="e">
        <f t="shared" si="41"/>
        <v>#DIV/0!</v>
      </c>
      <c r="H63" s="305" t="e">
        <f t="shared" si="42"/>
        <v>#DIV/0!</v>
      </c>
      <c r="I63" s="386" t="s">
        <v>560</v>
      </c>
      <c r="J63" s="450">
        <v>1800</v>
      </c>
      <c r="K63" s="306"/>
      <c r="L63" s="304"/>
      <c r="M63" s="355">
        <v>100</v>
      </c>
      <c r="N63" s="355">
        <v>60000</v>
      </c>
      <c r="O63" s="305" t="e">
        <f t="shared" si="43"/>
        <v>#DIV/0!</v>
      </c>
      <c r="P63" s="305" t="e">
        <f t="shared" si="44"/>
        <v>#DIV/0!</v>
      </c>
      <c r="Q63" s="306"/>
      <c r="R63" s="304"/>
      <c r="S63" s="355">
        <v>100</v>
      </c>
      <c r="T63" s="355">
        <v>60000</v>
      </c>
      <c r="U63" s="305" t="e">
        <f t="shared" si="45"/>
        <v>#DIV/0!</v>
      </c>
      <c r="V63" s="305" t="e">
        <f t="shared" si="46"/>
        <v>#DIV/0!</v>
      </c>
      <c r="W63" s="307"/>
      <c r="X63" s="304"/>
      <c r="Y63" s="355">
        <v>100</v>
      </c>
      <c r="Z63" s="355">
        <v>60000</v>
      </c>
      <c r="AA63" s="305" t="e">
        <f t="shared" si="47"/>
        <v>#DIV/0!</v>
      </c>
      <c r="AB63" s="308" t="e">
        <f t="shared" si="48"/>
        <v>#DIV/0!</v>
      </c>
      <c r="AC63" s="430">
        <f t="shared" si="40"/>
        <v>600</v>
      </c>
      <c r="AF63" s="451"/>
      <c r="AH63" s="441">
        <v>100</v>
      </c>
      <c r="AI63" s="441">
        <v>600</v>
      </c>
      <c r="AJ63" s="441">
        <v>60000</v>
      </c>
      <c r="AK63" s="441"/>
      <c r="AL63" s="441"/>
      <c r="AM63" s="441"/>
      <c r="AN63" s="441"/>
      <c r="AO63" s="441">
        <v>100</v>
      </c>
      <c r="AP63" s="441">
        <v>600</v>
      </c>
      <c r="AQ63" s="441">
        <v>60000</v>
      </c>
      <c r="AR63" s="441"/>
      <c r="AS63" s="441"/>
      <c r="AT63" s="441"/>
      <c r="AU63" s="441"/>
      <c r="AV63" s="441">
        <v>100</v>
      </c>
      <c r="AW63" s="441">
        <v>600</v>
      </c>
      <c r="AX63" s="441">
        <v>60000</v>
      </c>
      <c r="AY63" s="390"/>
      <c r="AZ63" s="390"/>
      <c r="BA63" s="390"/>
      <c r="BB63" s="390"/>
    </row>
    <row r="64" spans="1:54" ht="15.75" x14ac:dyDescent="0.25">
      <c r="A64" s="296">
        <v>13</v>
      </c>
      <c r="B64" s="359" t="s">
        <v>17</v>
      </c>
      <c r="C64" s="304">
        <f t="shared" si="36"/>
        <v>0</v>
      </c>
      <c r="D64" s="304">
        <f t="shared" si="37"/>
        <v>0</v>
      </c>
      <c r="E64" s="304">
        <f t="shared" si="38"/>
        <v>0</v>
      </c>
      <c r="F64" s="304">
        <f t="shared" si="39"/>
        <v>0</v>
      </c>
      <c r="G64" s="305" t="e">
        <f t="shared" si="41"/>
        <v>#DIV/0!</v>
      </c>
      <c r="H64" s="305" t="e">
        <f t="shared" si="42"/>
        <v>#DIV/0!</v>
      </c>
      <c r="I64" s="386"/>
      <c r="J64" s="387"/>
      <c r="K64" s="306"/>
      <c r="L64" s="304"/>
      <c r="M64" s="355"/>
      <c r="N64" s="355"/>
      <c r="O64" s="305" t="e">
        <f t="shared" si="43"/>
        <v>#DIV/0!</v>
      </c>
      <c r="P64" s="305" t="e">
        <f t="shared" si="44"/>
        <v>#DIV/0!</v>
      </c>
      <c r="Q64" s="306"/>
      <c r="R64" s="304"/>
      <c r="S64" s="355"/>
      <c r="T64" s="355"/>
      <c r="U64" s="305" t="e">
        <f t="shared" si="45"/>
        <v>#DIV/0!</v>
      </c>
      <c r="V64" s="305" t="e">
        <f t="shared" si="46"/>
        <v>#DIV/0!</v>
      </c>
      <c r="W64" s="307"/>
      <c r="X64" s="304"/>
      <c r="Y64" s="355"/>
      <c r="Z64" s="355"/>
      <c r="AA64" s="305" t="e">
        <f t="shared" si="47"/>
        <v>#DIV/0!</v>
      </c>
      <c r="AB64" s="308" t="e">
        <f t="shared" si="48"/>
        <v>#DIV/0!</v>
      </c>
      <c r="AC64" s="430" t="e">
        <f t="shared" si="40"/>
        <v>#DIV/0!</v>
      </c>
      <c r="AF64" s="357"/>
      <c r="AH64" s="390"/>
      <c r="AI64" s="390"/>
      <c r="AJ64" s="390"/>
      <c r="AK64" s="390"/>
      <c r="AL64" s="390"/>
      <c r="AM64" s="390"/>
      <c r="AN64" s="390"/>
      <c r="AO64" s="390"/>
      <c r="AP64" s="390"/>
      <c r="AQ64" s="390"/>
      <c r="AR64" s="390"/>
      <c r="AS64" s="390"/>
      <c r="AT64" s="390"/>
      <c r="AU64" s="390"/>
      <c r="AV64" s="390"/>
      <c r="AW64" s="390"/>
      <c r="AX64" s="390"/>
      <c r="AY64" s="390"/>
      <c r="AZ64" s="390"/>
      <c r="BA64" s="390"/>
      <c r="BB64" s="390"/>
    </row>
    <row r="65" spans="1:54" ht="16.5" thickBot="1" x14ac:dyDescent="0.3">
      <c r="A65" s="402">
        <v>14</v>
      </c>
      <c r="B65" s="362" t="s">
        <v>18</v>
      </c>
      <c r="C65" s="309">
        <f t="shared" si="36"/>
        <v>196</v>
      </c>
      <c r="D65" s="309">
        <f t="shared" si="37"/>
        <v>235200</v>
      </c>
      <c r="E65" s="309">
        <f t="shared" si="38"/>
        <v>242</v>
      </c>
      <c r="F65" s="309">
        <f t="shared" si="39"/>
        <v>145200</v>
      </c>
      <c r="G65" s="310">
        <f t="shared" si="41"/>
        <v>1.2346938775510203</v>
      </c>
      <c r="H65" s="310">
        <f t="shared" si="42"/>
        <v>0.61734693877551017</v>
      </c>
      <c r="I65" s="388"/>
      <c r="J65" s="389"/>
      <c r="K65" s="311">
        <v>105</v>
      </c>
      <c r="L65" s="309">
        <v>126000</v>
      </c>
      <c r="M65" s="356">
        <v>242</v>
      </c>
      <c r="N65" s="356">
        <v>145200</v>
      </c>
      <c r="O65" s="310">
        <f t="shared" si="43"/>
        <v>2.3047619047619046</v>
      </c>
      <c r="P65" s="310">
        <f t="shared" si="44"/>
        <v>1.1523809523809523</v>
      </c>
      <c r="Q65" s="311">
        <v>51</v>
      </c>
      <c r="R65" s="309">
        <v>61200</v>
      </c>
      <c r="S65" s="356"/>
      <c r="T65" s="356"/>
      <c r="U65" s="310">
        <f t="shared" si="45"/>
        <v>0</v>
      </c>
      <c r="V65" s="310">
        <f t="shared" si="46"/>
        <v>0</v>
      </c>
      <c r="W65" s="312">
        <v>40</v>
      </c>
      <c r="X65" s="309">
        <v>48000</v>
      </c>
      <c r="Y65" s="356"/>
      <c r="Z65" s="356"/>
      <c r="AA65" s="310">
        <f t="shared" si="47"/>
        <v>0</v>
      </c>
      <c r="AB65" s="313">
        <f t="shared" si="48"/>
        <v>0</v>
      </c>
      <c r="AC65" s="430">
        <f t="shared" si="40"/>
        <v>600</v>
      </c>
      <c r="AH65" s="390">
        <v>242</v>
      </c>
      <c r="AI65" s="390">
        <v>600</v>
      </c>
      <c r="AJ65" s="452">
        <v>145200</v>
      </c>
      <c r="AK65" s="390"/>
      <c r="AL65" s="390"/>
      <c r="AM65" s="390"/>
      <c r="AN65" s="390"/>
      <c r="AO65" s="390"/>
      <c r="AP65" s="390"/>
      <c r="AQ65" s="390"/>
      <c r="AR65" s="390"/>
      <c r="AS65" s="390"/>
      <c r="AT65" s="390"/>
      <c r="AU65" s="390"/>
      <c r="AV65" s="390"/>
      <c r="AW65" s="390"/>
      <c r="AX65" s="390"/>
      <c r="AY65" s="390"/>
      <c r="AZ65" s="390"/>
      <c r="BA65" s="390"/>
      <c r="BB65" s="390"/>
    </row>
    <row r="66" spans="1:54" x14ac:dyDescent="0.25">
      <c r="AH66" s="390"/>
      <c r="AI66" s="390"/>
      <c r="AJ66" s="390"/>
      <c r="AK66" s="390"/>
      <c r="AL66" s="390"/>
      <c r="AM66" s="390"/>
      <c r="AN66" s="390"/>
      <c r="AO66" s="390"/>
      <c r="AP66" s="390"/>
      <c r="AQ66" s="390"/>
      <c r="AR66" s="390"/>
      <c r="AS66" s="390"/>
      <c r="AT66" s="390"/>
      <c r="AU66" s="390"/>
      <c r="AV66" s="390"/>
      <c r="AW66" s="390"/>
      <c r="AX66" s="390"/>
      <c r="AY66" s="390"/>
      <c r="AZ66" s="390"/>
      <c r="BA66" s="390"/>
      <c r="BB66" s="390"/>
    </row>
    <row r="67" spans="1:54" ht="19.5" thickBot="1" x14ac:dyDescent="0.35">
      <c r="B67" s="376" t="s">
        <v>585</v>
      </c>
      <c r="AH67" s="390"/>
      <c r="AI67" s="390"/>
      <c r="AJ67" s="390"/>
      <c r="AK67" s="390"/>
      <c r="AL67" s="390"/>
      <c r="AM67" s="390"/>
      <c r="AN67" s="390"/>
      <c r="AO67" s="390"/>
      <c r="AP67" s="390"/>
      <c r="AQ67" s="390"/>
      <c r="AR67" s="390"/>
      <c r="AS67" s="390"/>
      <c r="AT67" s="390"/>
      <c r="AU67" s="390"/>
      <c r="AV67" s="390"/>
      <c r="AW67" s="390"/>
      <c r="AX67" s="390"/>
      <c r="AY67" s="390"/>
      <c r="AZ67" s="390"/>
      <c r="BA67" s="390"/>
      <c r="BB67" s="390"/>
    </row>
    <row r="68" spans="1:54" ht="16.5" thickBot="1" x14ac:dyDescent="0.3">
      <c r="A68" s="701" t="s">
        <v>0</v>
      </c>
      <c r="B68" s="705" t="s">
        <v>195</v>
      </c>
      <c r="C68" s="670" t="s">
        <v>196</v>
      </c>
      <c r="D68" s="671"/>
      <c r="E68" s="671"/>
      <c r="F68" s="671"/>
      <c r="G68" s="671"/>
      <c r="H68" s="672"/>
      <c r="I68" s="673" t="s">
        <v>557</v>
      </c>
      <c r="J68" s="674"/>
      <c r="K68" s="679" t="s">
        <v>197</v>
      </c>
      <c r="L68" s="680"/>
      <c r="M68" s="680"/>
      <c r="N68" s="680"/>
      <c r="O68" s="680"/>
      <c r="P68" s="680"/>
      <c r="Q68" s="680"/>
      <c r="R68" s="680"/>
      <c r="S68" s="680"/>
      <c r="T68" s="680"/>
      <c r="U68" s="680"/>
      <c r="V68" s="680"/>
      <c r="W68" s="680"/>
      <c r="X68" s="680"/>
      <c r="Y68" s="680"/>
      <c r="Z68" s="680"/>
      <c r="AA68" s="680"/>
      <c r="AB68" s="681"/>
      <c r="AH68" s="390"/>
      <c r="AI68" s="390"/>
      <c r="AJ68" s="390"/>
      <c r="AK68" s="390"/>
      <c r="AL68" s="390"/>
      <c r="AM68" s="390"/>
      <c r="AN68" s="390"/>
      <c r="AO68" s="390"/>
      <c r="AP68" s="390"/>
      <c r="AQ68" s="390"/>
      <c r="AR68" s="390"/>
      <c r="AS68" s="390"/>
      <c r="AT68" s="390"/>
      <c r="AU68" s="390"/>
      <c r="AV68" s="390"/>
      <c r="AW68" s="390"/>
      <c r="AX68" s="390"/>
      <c r="AY68" s="390"/>
      <c r="AZ68" s="390"/>
      <c r="BA68" s="390"/>
      <c r="BB68" s="390"/>
    </row>
    <row r="69" spans="1:54" ht="15.75" x14ac:dyDescent="0.25">
      <c r="A69" s="702"/>
      <c r="B69" s="706"/>
      <c r="C69" s="682" t="s">
        <v>143</v>
      </c>
      <c r="D69" s="683"/>
      <c r="E69" s="686" t="s">
        <v>198</v>
      </c>
      <c r="F69" s="683"/>
      <c r="G69" s="686" t="s">
        <v>199</v>
      </c>
      <c r="H69" s="688"/>
      <c r="I69" s="675"/>
      <c r="J69" s="676"/>
      <c r="K69" s="690" t="s">
        <v>200</v>
      </c>
      <c r="L69" s="691"/>
      <c r="M69" s="691"/>
      <c r="N69" s="691"/>
      <c r="O69" s="691"/>
      <c r="P69" s="692"/>
      <c r="Q69" s="690" t="s">
        <v>201</v>
      </c>
      <c r="R69" s="691"/>
      <c r="S69" s="691"/>
      <c r="T69" s="691"/>
      <c r="U69" s="691"/>
      <c r="V69" s="692"/>
      <c r="W69" s="690" t="s">
        <v>202</v>
      </c>
      <c r="X69" s="691"/>
      <c r="Y69" s="691"/>
      <c r="Z69" s="691"/>
      <c r="AA69" s="691"/>
      <c r="AB69" s="692"/>
      <c r="AH69" s="390"/>
      <c r="AI69" s="390"/>
      <c r="AJ69" s="390"/>
      <c r="AK69" s="390"/>
      <c r="AL69" s="390"/>
      <c r="AM69" s="390"/>
      <c r="AN69" s="390"/>
      <c r="AO69" s="390"/>
      <c r="AP69" s="390"/>
      <c r="AQ69" s="390"/>
      <c r="AR69" s="390"/>
      <c r="AS69" s="390"/>
      <c r="AT69" s="390"/>
      <c r="AU69" s="390"/>
      <c r="AV69" s="390"/>
      <c r="AW69" s="390"/>
      <c r="AX69" s="390"/>
      <c r="AY69" s="390"/>
      <c r="AZ69" s="390"/>
      <c r="BA69" s="390"/>
      <c r="BB69" s="390"/>
    </row>
    <row r="70" spans="1:54" ht="15.75" x14ac:dyDescent="0.25">
      <c r="A70" s="703"/>
      <c r="B70" s="707"/>
      <c r="C70" s="684"/>
      <c r="D70" s="685"/>
      <c r="E70" s="687"/>
      <c r="F70" s="685"/>
      <c r="G70" s="687"/>
      <c r="H70" s="689"/>
      <c r="I70" s="677"/>
      <c r="J70" s="678"/>
      <c r="K70" s="693" t="s">
        <v>143</v>
      </c>
      <c r="L70" s="694"/>
      <c r="M70" s="695" t="s">
        <v>198</v>
      </c>
      <c r="N70" s="694"/>
      <c r="O70" s="695" t="s">
        <v>199</v>
      </c>
      <c r="P70" s="696"/>
      <c r="Q70" s="693" t="s">
        <v>143</v>
      </c>
      <c r="R70" s="694"/>
      <c r="S70" s="695" t="s">
        <v>198</v>
      </c>
      <c r="T70" s="694"/>
      <c r="U70" s="695" t="s">
        <v>199</v>
      </c>
      <c r="V70" s="696"/>
      <c r="W70" s="693" t="s">
        <v>143</v>
      </c>
      <c r="X70" s="694"/>
      <c r="Y70" s="695" t="s">
        <v>198</v>
      </c>
      <c r="Z70" s="694"/>
      <c r="AA70" s="695" t="s">
        <v>199</v>
      </c>
      <c r="AB70" s="696"/>
      <c r="AH70" s="390"/>
      <c r="AI70" s="390"/>
      <c r="AJ70" s="390"/>
      <c r="AK70" s="390"/>
      <c r="AL70" s="390"/>
      <c r="AM70" s="390"/>
      <c r="AN70" s="390"/>
      <c r="AO70" s="390"/>
      <c r="AP70" s="390"/>
      <c r="AQ70" s="390"/>
      <c r="AR70" s="390"/>
      <c r="AS70" s="390"/>
      <c r="AT70" s="390"/>
      <c r="AU70" s="390"/>
      <c r="AV70" s="390"/>
      <c r="AW70" s="390"/>
      <c r="AX70" s="390"/>
      <c r="AY70" s="390"/>
      <c r="AZ70" s="390"/>
      <c r="BA70" s="390"/>
      <c r="BB70" s="390"/>
    </row>
    <row r="71" spans="1:54" ht="16.5" thickBot="1" x14ac:dyDescent="0.3">
      <c r="A71" s="704"/>
      <c r="B71" s="708"/>
      <c r="C71" s="470" t="s">
        <v>203</v>
      </c>
      <c r="D71" s="290" t="s">
        <v>204</v>
      </c>
      <c r="E71" s="290" t="s">
        <v>203</v>
      </c>
      <c r="F71" s="290" t="s">
        <v>204</v>
      </c>
      <c r="G71" s="290" t="s">
        <v>203</v>
      </c>
      <c r="H71" s="290" t="s">
        <v>204</v>
      </c>
      <c r="I71" s="470" t="s">
        <v>558</v>
      </c>
      <c r="J71" s="471" t="s">
        <v>204</v>
      </c>
      <c r="K71" s="470" t="s">
        <v>203</v>
      </c>
      <c r="L71" s="290" t="s">
        <v>204</v>
      </c>
      <c r="M71" s="290" t="s">
        <v>203</v>
      </c>
      <c r="N71" s="290" t="s">
        <v>204</v>
      </c>
      <c r="O71" s="290" t="s">
        <v>203</v>
      </c>
      <c r="P71" s="290" t="s">
        <v>204</v>
      </c>
      <c r="Q71" s="470" t="s">
        <v>203</v>
      </c>
      <c r="R71" s="290" t="s">
        <v>204</v>
      </c>
      <c r="S71" s="290" t="s">
        <v>203</v>
      </c>
      <c r="T71" s="290" t="s">
        <v>204</v>
      </c>
      <c r="U71" s="290" t="s">
        <v>203</v>
      </c>
      <c r="V71" s="290" t="s">
        <v>204</v>
      </c>
      <c r="W71" s="470" t="s">
        <v>203</v>
      </c>
      <c r="X71" s="290" t="s">
        <v>204</v>
      </c>
      <c r="Y71" s="290" t="s">
        <v>203</v>
      </c>
      <c r="Z71" s="290" t="s">
        <v>204</v>
      </c>
      <c r="AA71" s="290" t="s">
        <v>203</v>
      </c>
      <c r="AB71" s="471" t="s">
        <v>204</v>
      </c>
      <c r="AH71" s="390"/>
      <c r="AI71" s="390"/>
      <c r="AJ71" s="390"/>
      <c r="AK71" s="390"/>
      <c r="AL71" s="390"/>
      <c r="AM71" s="390"/>
      <c r="AN71" s="390"/>
      <c r="AO71" s="390"/>
      <c r="AP71" s="390"/>
      <c r="AQ71" s="390"/>
      <c r="AR71" s="390"/>
      <c r="AS71" s="390"/>
      <c r="AT71" s="390"/>
      <c r="AU71" s="390"/>
      <c r="AV71" s="390"/>
      <c r="AW71" s="390"/>
      <c r="AX71" s="390"/>
      <c r="AY71" s="390"/>
      <c r="AZ71" s="390"/>
      <c r="BA71" s="390"/>
      <c r="BB71" s="390"/>
    </row>
    <row r="72" spans="1:54" ht="16.5" thickBot="1" x14ac:dyDescent="0.3">
      <c r="A72" s="719" t="s">
        <v>163</v>
      </c>
      <c r="B72" s="720"/>
      <c r="C72" s="291">
        <f t="shared" ref="C72:I72" si="49">SUM(C74:C86)</f>
        <v>2352</v>
      </c>
      <c r="D72" s="292">
        <f t="shared" si="49"/>
        <v>2822400</v>
      </c>
      <c r="E72" s="292">
        <f t="shared" si="49"/>
        <v>3638</v>
      </c>
      <c r="F72" s="292">
        <f t="shared" si="49"/>
        <v>3397840</v>
      </c>
      <c r="G72" s="292" t="e">
        <f t="shared" si="49"/>
        <v>#DIV/0!</v>
      </c>
      <c r="H72" s="292" t="e">
        <f t="shared" si="49"/>
        <v>#DIV/0!</v>
      </c>
      <c r="I72" s="291">
        <f t="shared" si="49"/>
        <v>0</v>
      </c>
      <c r="J72" s="383">
        <f t="shared" ref="J72:AB72" si="50">SUM(J74:J86)</f>
        <v>58770</v>
      </c>
      <c r="K72" s="291">
        <f t="shared" si="50"/>
        <v>658</v>
      </c>
      <c r="L72" s="292">
        <f t="shared" si="50"/>
        <v>789600</v>
      </c>
      <c r="M72" s="292">
        <f t="shared" si="50"/>
        <v>1315</v>
      </c>
      <c r="N72" s="292">
        <f t="shared" si="50"/>
        <v>1239500</v>
      </c>
      <c r="O72" s="292" t="e">
        <f t="shared" si="50"/>
        <v>#DIV/0!</v>
      </c>
      <c r="P72" s="293" t="e">
        <f t="shared" si="50"/>
        <v>#DIV/0!</v>
      </c>
      <c r="Q72" s="291">
        <f t="shared" si="50"/>
        <v>1152</v>
      </c>
      <c r="R72" s="292">
        <f t="shared" si="50"/>
        <v>1382400</v>
      </c>
      <c r="S72" s="292">
        <f t="shared" si="50"/>
        <v>1372</v>
      </c>
      <c r="T72" s="292">
        <f t="shared" si="50"/>
        <v>1275140</v>
      </c>
      <c r="U72" s="292" t="e">
        <f t="shared" si="50"/>
        <v>#DIV/0!</v>
      </c>
      <c r="V72" s="293" t="e">
        <f t="shared" si="50"/>
        <v>#DIV/0!</v>
      </c>
      <c r="W72" s="291">
        <f t="shared" si="50"/>
        <v>542</v>
      </c>
      <c r="X72" s="292">
        <f t="shared" si="50"/>
        <v>650400</v>
      </c>
      <c r="Y72" s="292">
        <f t="shared" si="50"/>
        <v>951</v>
      </c>
      <c r="Z72" s="292">
        <f t="shared" si="50"/>
        <v>883200</v>
      </c>
      <c r="AA72" s="292" t="e">
        <f t="shared" si="50"/>
        <v>#DIV/0!</v>
      </c>
      <c r="AB72" s="293" t="e">
        <f t="shared" si="50"/>
        <v>#DIV/0!</v>
      </c>
      <c r="AH72" s="390"/>
      <c r="AI72" s="390"/>
      <c r="AJ72" s="390"/>
      <c r="AK72" s="390"/>
      <c r="AL72" s="390"/>
      <c r="AM72" s="390"/>
      <c r="AN72" s="390"/>
      <c r="AO72" s="390"/>
      <c r="AP72" s="390"/>
      <c r="AQ72" s="390"/>
      <c r="AR72" s="390"/>
      <c r="AS72" s="390"/>
      <c r="AT72" s="390"/>
      <c r="AU72" s="390"/>
      <c r="AV72" s="390"/>
      <c r="AW72" s="390"/>
      <c r="AX72" s="390"/>
      <c r="AY72" s="390"/>
      <c r="AZ72" s="390"/>
      <c r="BA72" s="390"/>
      <c r="BB72" s="390"/>
    </row>
    <row r="73" spans="1:54" ht="15.75" x14ac:dyDescent="0.25">
      <c r="A73" s="296">
        <v>1</v>
      </c>
      <c r="B73" s="358" t="s">
        <v>127</v>
      </c>
      <c r="C73" s="297"/>
      <c r="D73" s="297"/>
      <c r="E73" s="297"/>
      <c r="F73" s="297"/>
      <c r="G73" s="298"/>
      <c r="H73" s="298"/>
      <c r="I73" s="384"/>
      <c r="J73" s="385"/>
      <c r="K73" s="299"/>
      <c r="L73" s="297"/>
      <c r="M73" s="354"/>
      <c r="N73" s="354"/>
      <c r="O73" s="298"/>
      <c r="P73" s="298"/>
      <c r="Q73" s="299"/>
      <c r="R73" s="297"/>
      <c r="S73" s="354"/>
      <c r="T73" s="354"/>
      <c r="U73" s="298"/>
      <c r="V73" s="298"/>
      <c r="W73" s="300"/>
      <c r="X73" s="297"/>
      <c r="Y73" s="354"/>
      <c r="Z73" s="354"/>
      <c r="AA73" s="298"/>
      <c r="AB73" s="301"/>
      <c r="AH73" s="390"/>
      <c r="AI73" s="390"/>
      <c r="AJ73" s="390"/>
      <c r="AK73" s="390"/>
      <c r="AL73" s="390"/>
      <c r="AM73" s="390"/>
      <c r="AN73" s="390"/>
      <c r="AO73" s="390"/>
      <c r="AP73" s="390"/>
      <c r="AQ73" s="390"/>
      <c r="AR73" s="390"/>
      <c r="AS73" s="390"/>
      <c r="AT73" s="390"/>
      <c r="AU73" s="390"/>
      <c r="AV73" s="390"/>
      <c r="AW73" s="390"/>
      <c r="AX73" s="390"/>
      <c r="AY73" s="390"/>
      <c r="AZ73" s="390"/>
      <c r="BA73" s="390"/>
      <c r="BB73" s="390"/>
    </row>
    <row r="74" spans="1:54" ht="15.75" x14ac:dyDescent="0.25">
      <c r="A74" s="296">
        <v>2</v>
      </c>
      <c r="B74" s="358" t="s">
        <v>205</v>
      </c>
      <c r="C74" s="297">
        <f t="shared" ref="C74:C86" si="51">+K74+Q74+W74</f>
        <v>659</v>
      </c>
      <c r="D74" s="297">
        <f t="shared" ref="D74:D86" si="52">+L74+R74+X74</f>
        <v>790800</v>
      </c>
      <c r="E74" s="297">
        <f t="shared" ref="E74:E86" si="53">+M74+S74+Y74</f>
        <v>711</v>
      </c>
      <c r="F74" s="297">
        <f t="shared" ref="F74:F86" si="54">+N74+T74+Z74</f>
        <v>435960</v>
      </c>
      <c r="G74" s="298">
        <f>+E74/C74</f>
        <v>1.0789074355083459</v>
      </c>
      <c r="H74" s="298">
        <f>+F74/D74</f>
        <v>0.5512898330804249</v>
      </c>
      <c r="I74" s="384"/>
      <c r="J74" s="385"/>
      <c r="K74" s="299"/>
      <c r="L74" s="297"/>
      <c r="M74" s="354">
        <v>187</v>
      </c>
      <c r="N74" s="354">
        <v>112200</v>
      </c>
      <c r="O74" s="298" t="e">
        <f>+M74/K74</f>
        <v>#DIV/0!</v>
      </c>
      <c r="P74" s="298" t="e">
        <f>+N74/L74</f>
        <v>#DIV/0!</v>
      </c>
      <c r="Q74" s="299">
        <v>659</v>
      </c>
      <c r="R74" s="297">
        <v>790800</v>
      </c>
      <c r="S74" s="354">
        <v>361</v>
      </c>
      <c r="T74" s="354">
        <v>225960</v>
      </c>
      <c r="U74" s="298">
        <f>+S74/Q74</f>
        <v>0.54779969650986338</v>
      </c>
      <c r="V74" s="298">
        <f>+T74/R74</f>
        <v>0.28573596358118364</v>
      </c>
      <c r="W74" s="300"/>
      <c r="X74" s="297"/>
      <c r="Y74" s="354">
        <v>163</v>
      </c>
      <c r="Z74" s="354">
        <v>97800</v>
      </c>
      <c r="AA74" s="298" t="e">
        <f>+Y74/W74</f>
        <v>#DIV/0!</v>
      </c>
      <c r="AB74" s="301" t="e">
        <f>+Z74/X74</f>
        <v>#DIV/0!</v>
      </c>
      <c r="AC74" s="286">
        <f t="shared" ref="AC74:AC86" si="55">F74/E74</f>
        <v>613.16455696202536</v>
      </c>
      <c r="AH74" s="390"/>
      <c r="AI74" s="390"/>
      <c r="AJ74" s="390"/>
      <c r="AK74" s="390"/>
      <c r="AL74" s="390"/>
      <c r="AM74" s="390"/>
      <c r="AN74" s="390"/>
      <c r="AO74" s="390"/>
      <c r="AP74" s="390"/>
      <c r="AQ74" s="390"/>
      <c r="AR74" s="390"/>
      <c r="AS74" s="390"/>
      <c r="AT74" s="390"/>
      <c r="AU74" s="390"/>
      <c r="AV74" s="390"/>
      <c r="AW74" s="390"/>
      <c r="AX74" s="390"/>
      <c r="AY74" s="390"/>
      <c r="AZ74" s="390"/>
      <c r="BA74" s="390"/>
      <c r="BB74" s="390"/>
    </row>
    <row r="75" spans="1:54" ht="15.75" x14ac:dyDescent="0.25">
      <c r="A75" s="296">
        <v>3</v>
      </c>
      <c r="B75" s="359" t="s">
        <v>147</v>
      </c>
      <c r="C75" s="304">
        <f t="shared" si="51"/>
        <v>0</v>
      </c>
      <c r="D75" s="304">
        <f t="shared" si="52"/>
        <v>0</v>
      </c>
      <c r="E75" s="304">
        <f t="shared" si="53"/>
        <v>215</v>
      </c>
      <c r="F75" s="304">
        <f t="shared" si="54"/>
        <v>283800</v>
      </c>
      <c r="G75" s="305" t="e">
        <f t="shared" ref="G75:G86" si="56">+E75/C75</f>
        <v>#DIV/0!</v>
      </c>
      <c r="H75" s="305" t="e">
        <f t="shared" ref="H75:H86" si="57">+F75/D75</f>
        <v>#DIV/0!</v>
      </c>
      <c r="I75" s="386"/>
      <c r="J75" s="387"/>
      <c r="K75" s="306"/>
      <c r="L75" s="304"/>
      <c r="M75" s="355">
        <v>85</v>
      </c>
      <c r="N75" s="355">
        <v>112200</v>
      </c>
      <c r="O75" s="305" t="e">
        <f t="shared" ref="O75:O86" si="58">+M75/K75</f>
        <v>#DIV/0!</v>
      </c>
      <c r="P75" s="305" t="e">
        <f t="shared" ref="P75:P86" si="59">+N75/L75</f>
        <v>#DIV/0!</v>
      </c>
      <c r="Q75" s="306"/>
      <c r="R75" s="304"/>
      <c r="S75" s="355">
        <v>63</v>
      </c>
      <c r="T75" s="355">
        <v>83160</v>
      </c>
      <c r="U75" s="305" t="e">
        <f t="shared" ref="U75:U86" si="60">+S75/Q75</f>
        <v>#DIV/0!</v>
      </c>
      <c r="V75" s="305" t="e">
        <f t="shared" ref="V75:V86" si="61">+T75/R75</f>
        <v>#DIV/0!</v>
      </c>
      <c r="W75" s="307"/>
      <c r="X75" s="304"/>
      <c r="Y75" s="355">
        <v>67</v>
      </c>
      <c r="Z75" s="355">
        <v>88440</v>
      </c>
      <c r="AA75" s="305" t="e">
        <f t="shared" ref="AA75:AA86" si="62">+Y75/W75</f>
        <v>#DIV/0!</v>
      </c>
      <c r="AB75" s="308" t="e">
        <f t="shared" ref="AB75:AB86" si="63">+Z75/X75</f>
        <v>#DIV/0!</v>
      </c>
      <c r="AC75" s="286">
        <f t="shared" si="55"/>
        <v>1320</v>
      </c>
      <c r="AH75" s="390"/>
      <c r="AI75" s="390"/>
      <c r="AJ75" s="390"/>
      <c r="AK75" s="390"/>
      <c r="AL75" s="390"/>
      <c r="AM75" s="390"/>
      <c r="AN75" s="390"/>
      <c r="AO75" s="390"/>
      <c r="AP75" s="390"/>
      <c r="AQ75" s="390"/>
      <c r="AR75" s="390"/>
      <c r="AS75" s="390"/>
      <c r="AT75" s="390"/>
      <c r="AU75" s="390"/>
      <c r="AV75" s="390"/>
      <c r="AW75" s="390"/>
      <c r="AX75" s="390"/>
      <c r="AY75" s="390"/>
      <c r="AZ75" s="390"/>
      <c r="BA75" s="390"/>
      <c r="BB75" s="390"/>
    </row>
    <row r="76" spans="1:54" ht="15.75" x14ac:dyDescent="0.25">
      <c r="A76" s="296">
        <v>4</v>
      </c>
      <c r="B76" s="359" t="s">
        <v>148</v>
      </c>
      <c r="C76" s="304">
        <f t="shared" si="51"/>
        <v>142</v>
      </c>
      <c r="D76" s="304">
        <f t="shared" si="52"/>
        <v>170400</v>
      </c>
      <c r="E76" s="304">
        <f t="shared" si="53"/>
        <v>103</v>
      </c>
      <c r="F76" s="304">
        <f t="shared" si="54"/>
        <v>123600</v>
      </c>
      <c r="G76" s="305">
        <f t="shared" si="56"/>
        <v>0.72535211267605637</v>
      </c>
      <c r="H76" s="305">
        <f t="shared" si="57"/>
        <v>0.72535211267605637</v>
      </c>
      <c r="I76" s="386"/>
      <c r="J76" s="387"/>
      <c r="K76" s="306"/>
      <c r="L76" s="304"/>
      <c r="M76" s="355"/>
      <c r="N76" s="355"/>
      <c r="O76" s="305" t="e">
        <f t="shared" si="58"/>
        <v>#DIV/0!</v>
      </c>
      <c r="P76" s="305" t="e">
        <f t="shared" si="59"/>
        <v>#DIV/0!</v>
      </c>
      <c r="Q76" s="306"/>
      <c r="R76" s="304"/>
      <c r="S76" s="355">
        <v>103</v>
      </c>
      <c r="T76" s="355">
        <v>123600</v>
      </c>
      <c r="U76" s="305" t="e">
        <f t="shared" si="60"/>
        <v>#DIV/0!</v>
      </c>
      <c r="V76" s="305" t="e">
        <f t="shared" si="61"/>
        <v>#DIV/0!</v>
      </c>
      <c r="W76" s="307">
        <v>142</v>
      </c>
      <c r="X76" s="304">
        <v>170400</v>
      </c>
      <c r="Y76" s="355"/>
      <c r="Z76" s="355"/>
      <c r="AA76" s="305">
        <f t="shared" si="62"/>
        <v>0</v>
      </c>
      <c r="AB76" s="308">
        <f t="shared" si="63"/>
        <v>0</v>
      </c>
      <c r="AC76" s="286">
        <f t="shared" si="55"/>
        <v>1200</v>
      </c>
      <c r="AH76" s="390"/>
      <c r="AI76" s="390"/>
      <c r="AJ76" s="390"/>
      <c r="AK76" s="390"/>
      <c r="AL76" s="390"/>
      <c r="AM76" s="390"/>
      <c r="AN76" s="390"/>
      <c r="AO76" s="390"/>
      <c r="AP76" s="390"/>
      <c r="AQ76" s="390"/>
      <c r="AR76" s="390"/>
      <c r="AS76" s="390"/>
      <c r="AT76" s="390"/>
      <c r="AU76" s="390"/>
      <c r="AV76" s="390"/>
      <c r="AW76" s="390"/>
      <c r="AX76" s="390"/>
      <c r="AY76" s="390"/>
      <c r="AZ76" s="390"/>
      <c r="BA76" s="390"/>
      <c r="BB76" s="390"/>
    </row>
    <row r="77" spans="1:54" ht="15.75" x14ac:dyDescent="0.25">
      <c r="A77" s="296">
        <v>5</v>
      </c>
      <c r="B77" s="360" t="s">
        <v>206</v>
      </c>
      <c r="C77" s="304">
        <f t="shared" si="51"/>
        <v>199</v>
      </c>
      <c r="D77" s="304">
        <f t="shared" si="52"/>
        <v>238800</v>
      </c>
      <c r="E77" s="304">
        <f t="shared" si="53"/>
        <v>236</v>
      </c>
      <c r="F77" s="304">
        <f t="shared" si="54"/>
        <v>283200</v>
      </c>
      <c r="G77" s="305">
        <f t="shared" si="56"/>
        <v>1.1859296482412061</v>
      </c>
      <c r="H77" s="305">
        <f t="shared" si="57"/>
        <v>1.1859296482412061</v>
      </c>
      <c r="I77" s="386" t="s">
        <v>557</v>
      </c>
      <c r="J77" s="450">
        <v>420</v>
      </c>
      <c r="K77" s="306">
        <v>80</v>
      </c>
      <c r="L77" s="304">
        <v>96000</v>
      </c>
      <c r="M77" s="355">
        <v>64</v>
      </c>
      <c r="N77" s="355">
        <v>76800</v>
      </c>
      <c r="O77" s="305">
        <f t="shared" si="58"/>
        <v>0.8</v>
      </c>
      <c r="P77" s="305">
        <f t="shared" si="59"/>
        <v>0.8</v>
      </c>
      <c r="Q77" s="306">
        <v>70</v>
      </c>
      <c r="R77" s="304">
        <v>84000</v>
      </c>
      <c r="S77" s="355">
        <v>73</v>
      </c>
      <c r="T77" s="355">
        <v>87600</v>
      </c>
      <c r="U77" s="305">
        <f t="shared" si="60"/>
        <v>1.0428571428571429</v>
      </c>
      <c r="V77" s="305">
        <f t="shared" si="61"/>
        <v>1.0428571428571429</v>
      </c>
      <c r="W77" s="307">
        <v>49</v>
      </c>
      <c r="X77" s="304">
        <v>58800</v>
      </c>
      <c r="Y77" s="355">
        <v>99</v>
      </c>
      <c r="Z77" s="355">
        <v>118800</v>
      </c>
      <c r="AA77" s="305">
        <f t="shared" si="62"/>
        <v>2.0204081632653059</v>
      </c>
      <c r="AB77" s="308">
        <f t="shared" si="63"/>
        <v>2.0204081632653059</v>
      </c>
      <c r="AC77" s="286">
        <f t="shared" si="55"/>
        <v>1200</v>
      </c>
      <c r="AH77" s="390"/>
      <c r="AI77" s="390"/>
      <c r="AJ77" s="390"/>
      <c r="AK77" s="390"/>
      <c r="AL77" s="390"/>
      <c r="AM77" s="390"/>
      <c r="AN77" s="390"/>
      <c r="AO77" s="390"/>
      <c r="AP77" s="390"/>
      <c r="AQ77" s="390"/>
      <c r="AR77" s="390"/>
      <c r="AS77" s="390"/>
      <c r="AT77" s="390"/>
      <c r="AU77" s="390"/>
      <c r="AV77" s="390"/>
      <c r="AW77" s="390"/>
      <c r="AX77" s="390"/>
      <c r="AY77" s="390"/>
      <c r="AZ77" s="390"/>
      <c r="BA77" s="390"/>
      <c r="BB77" s="390"/>
    </row>
    <row r="78" spans="1:54" ht="15.75" x14ac:dyDescent="0.25">
      <c r="A78" s="296">
        <v>6</v>
      </c>
      <c r="B78" s="359" t="s">
        <v>174</v>
      </c>
      <c r="C78" s="304">
        <f t="shared" si="51"/>
        <v>360</v>
      </c>
      <c r="D78" s="304">
        <f t="shared" si="52"/>
        <v>432000</v>
      </c>
      <c r="E78" s="304">
        <f>+M78+S78+Y78</f>
        <v>360</v>
      </c>
      <c r="F78" s="304">
        <f t="shared" si="54"/>
        <v>432000</v>
      </c>
      <c r="G78" s="305">
        <f t="shared" si="56"/>
        <v>1</v>
      </c>
      <c r="H78" s="305">
        <f t="shared" si="57"/>
        <v>1</v>
      </c>
      <c r="I78" s="386"/>
      <c r="J78" s="387"/>
      <c r="K78" s="306">
        <v>120</v>
      </c>
      <c r="L78" s="304">
        <v>144000</v>
      </c>
      <c r="M78" s="355">
        <v>139</v>
      </c>
      <c r="N78" s="355">
        <v>166800</v>
      </c>
      <c r="O78" s="305">
        <f t="shared" si="58"/>
        <v>1.1583333333333334</v>
      </c>
      <c r="P78" s="305">
        <f t="shared" si="59"/>
        <v>1.1583333333333334</v>
      </c>
      <c r="Q78" s="306">
        <v>120</v>
      </c>
      <c r="R78" s="304">
        <v>144000</v>
      </c>
      <c r="S78" s="355">
        <v>148</v>
      </c>
      <c r="T78" s="355">
        <v>177600</v>
      </c>
      <c r="U78" s="305">
        <f t="shared" si="60"/>
        <v>1.2333333333333334</v>
      </c>
      <c r="V78" s="305">
        <f t="shared" si="61"/>
        <v>1.2333333333333334</v>
      </c>
      <c r="W78" s="307">
        <v>120</v>
      </c>
      <c r="X78" s="304">
        <v>144000</v>
      </c>
      <c r="Y78" s="355">
        <v>73</v>
      </c>
      <c r="Z78" s="355">
        <v>87600</v>
      </c>
      <c r="AA78" s="305">
        <f t="shared" si="62"/>
        <v>0.60833333333333328</v>
      </c>
      <c r="AB78" s="308">
        <f t="shared" si="63"/>
        <v>0.60833333333333328</v>
      </c>
      <c r="AC78" s="286">
        <f t="shared" si="55"/>
        <v>1200</v>
      </c>
      <c r="AH78" s="390"/>
      <c r="AI78" s="390"/>
      <c r="AJ78" s="390"/>
      <c r="AK78" s="390"/>
      <c r="AL78" s="390"/>
      <c r="AM78" s="390"/>
      <c r="AN78" s="390"/>
      <c r="AO78" s="390"/>
      <c r="AP78" s="390"/>
      <c r="AQ78" s="390"/>
      <c r="AR78" s="390"/>
      <c r="AS78" s="390"/>
      <c r="AT78" s="390"/>
      <c r="AU78" s="390"/>
      <c r="AV78" s="390"/>
      <c r="AW78" s="390"/>
      <c r="AX78" s="390"/>
      <c r="AY78" s="390"/>
      <c r="AZ78" s="390"/>
      <c r="BA78" s="390"/>
      <c r="BB78" s="390"/>
    </row>
    <row r="79" spans="1:54" ht="15.75" x14ac:dyDescent="0.25">
      <c r="A79" s="296">
        <v>7</v>
      </c>
      <c r="B79" s="360" t="s">
        <v>151</v>
      </c>
      <c r="C79" s="304">
        <f t="shared" si="51"/>
        <v>348</v>
      </c>
      <c r="D79" s="304">
        <f t="shared" si="52"/>
        <v>417600</v>
      </c>
      <c r="E79" s="304">
        <f t="shared" si="53"/>
        <v>358</v>
      </c>
      <c r="F79" s="304">
        <f t="shared" si="54"/>
        <v>279480</v>
      </c>
      <c r="G79" s="305">
        <f t="shared" si="56"/>
        <v>1.0287356321839081</v>
      </c>
      <c r="H79" s="305">
        <f t="shared" si="57"/>
        <v>0.66925287356321839</v>
      </c>
      <c r="I79" s="386"/>
      <c r="J79" s="387"/>
      <c r="K79" s="306">
        <v>148</v>
      </c>
      <c r="L79" s="304">
        <v>177600</v>
      </c>
      <c r="M79" s="355">
        <v>196</v>
      </c>
      <c r="N79" s="355">
        <v>156900</v>
      </c>
      <c r="O79" s="305">
        <f t="shared" si="58"/>
        <v>1.3243243243243243</v>
      </c>
      <c r="P79" s="305">
        <f t="shared" si="59"/>
        <v>0.88344594594594594</v>
      </c>
      <c r="Q79" s="306">
        <v>120</v>
      </c>
      <c r="R79" s="304">
        <v>144000</v>
      </c>
      <c r="S79" s="355">
        <v>108</v>
      </c>
      <c r="T79" s="355">
        <v>82620</v>
      </c>
      <c r="U79" s="305">
        <f t="shared" si="60"/>
        <v>0.9</v>
      </c>
      <c r="V79" s="305">
        <f t="shared" si="61"/>
        <v>0.57374999999999998</v>
      </c>
      <c r="W79" s="307">
        <v>80</v>
      </c>
      <c r="X79" s="304">
        <v>96000</v>
      </c>
      <c r="Y79" s="355">
        <v>54</v>
      </c>
      <c r="Z79" s="355">
        <v>39960</v>
      </c>
      <c r="AA79" s="305">
        <f t="shared" si="62"/>
        <v>0.67500000000000004</v>
      </c>
      <c r="AB79" s="308">
        <f t="shared" si="63"/>
        <v>0.41625000000000001</v>
      </c>
      <c r="AC79" s="286">
        <f t="shared" si="55"/>
        <v>780.67039106145251</v>
      </c>
      <c r="AH79" s="390"/>
      <c r="AI79" s="390"/>
      <c r="AJ79" s="390"/>
      <c r="AK79" s="390"/>
      <c r="AL79" s="390"/>
      <c r="AM79" s="390"/>
      <c r="AN79" s="390"/>
      <c r="AO79" s="390"/>
      <c r="AP79" s="390"/>
      <c r="AQ79" s="390"/>
      <c r="AR79" s="390"/>
      <c r="AS79" s="390"/>
      <c r="AT79" s="390"/>
      <c r="AU79" s="390"/>
      <c r="AV79" s="390"/>
      <c r="AW79" s="390"/>
      <c r="AX79" s="390"/>
      <c r="AY79" s="390"/>
      <c r="AZ79" s="390"/>
      <c r="BA79" s="390"/>
      <c r="BB79" s="390"/>
    </row>
    <row r="80" spans="1:54" ht="15.75" x14ac:dyDescent="0.25">
      <c r="A80" s="296">
        <v>8</v>
      </c>
      <c r="B80" s="360" t="s">
        <v>207</v>
      </c>
      <c r="C80" s="304">
        <f t="shared" si="51"/>
        <v>0</v>
      </c>
      <c r="D80" s="304">
        <f t="shared" si="52"/>
        <v>0</v>
      </c>
      <c r="E80" s="304">
        <f t="shared" si="53"/>
        <v>160</v>
      </c>
      <c r="F80" s="304">
        <f t="shared" si="54"/>
        <v>192000</v>
      </c>
      <c r="G80" s="305" t="e">
        <f t="shared" si="56"/>
        <v>#DIV/0!</v>
      </c>
      <c r="H80" s="305" t="e">
        <f t="shared" si="57"/>
        <v>#DIV/0!</v>
      </c>
      <c r="I80" s="386" t="s">
        <v>557</v>
      </c>
      <c r="J80" s="387">
        <v>600</v>
      </c>
      <c r="K80" s="306"/>
      <c r="L80" s="304"/>
      <c r="M80" s="355">
        <v>63</v>
      </c>
      <c r="N80" s="355">
        <v>75600</v>
      </c>
      <c r="O80" s="305" t="e">
        <f t="shared" si="58"/>
        <v>#DIV/0!</v>
      </c>
      <c r="P80" s="305" t="e">
        <f t="shared" si="59"/>
        <v>#DIV/0!</v>
      </c>
      <c r="Q80" s="306"/>
      <c r="R80" s="304"/>
      <c r="S80" s="355">
        <v>41</v>
      </c>
      <c r="T80" s="355">
        <v>49200</v>
      </c>
      <c r="U80" s="305" t="e">
        <f t="shared" si="60"/>
        <v>#DIV/0!</v>
      </c>
      <c r="V80" s="305" t="e">
        <f t="shared" si="61"/>
        <v>#DIV/0!</v>
      </c>
      <c r="W80" s="307"/>
      <c r="X80" s="304"/>
      <c r="Y80" s="355">
        <v>56</v>
      </c>
      <c r="Z80" s="355">
        <v>67200</v>
      </c>
      <c r="AA80" s="305" t="e">
        <f t="shared" si="62"/>
        <v>#DIV/0!</v>
      </c>
      <c r="AB80" s="308" t="e">
        <f t="shared" si="63"/>
        <v>#DIV/0!</v>
      </c>
      <c r="AC80" s="286">
        <f t="shared" si="55"/>
        <v>1200</v>
      </c>
      <c r="AH80" s="390"/>
      <c r="AI80" s="390"/>
      <c r="AJ80" s="390"/>
      <c r="AK80" s="390"/>
      <c r="AL80" s="390"/>
      <c r="AM80" s="390"/>
      <c r="AN80" s="390"/>
      <c r="AO80" s="390"/>
      <c r="AP80" s="390"/>
      <c r="AQ80" s="390"/>
      <c r="AR80" s="390"/>
      <c r="AS80" s="390"/>
      <c r="AT80" s="390"/>
      <c r="AU80" s="390"/>
      <c r="AV80" s="390"/>
      <c r="AW80" s="390"/>
      <c r="AX80" s="390"/>
      <c r="AY80" s="390"/>
      <c r="AZ80" s="390"/>
      <c r="BA80" s="390"/>
      <c r="BB80" s="390"/>
    </row>
    <row r="81" spans="1:54" ht="94.5" x14ac:dyDescent="0.25">
      <c r="A81" s="296">
        <v>9</v>
      </c>
      <c r="B81" s="360" t="s">
        <v>153</v>
      </c>
      <c r="C81" s="304">
        <f t="shared" si="51"/>
        <v>128</v>
      </c>
      <c r="D81" s="304">
        <f t="shared" si="52"/>
        <v>153600</v>
      </c>
      <c r="E81" s="304">
        <f t="shared" si="53"/>
        <v>250</v>
      </c>
      <c r="F81" s="304">
        <f t="shared" si="54"/>
        <v>303700</v>
      </c>
      <c r="G81" s="305">
        <f t="shared" si="56"/>
        <v>1.953125</v>
      </c>
      <c r="H81" s="305">
        <f t="shared" si="57"/>
        <v>1.9772135416666667</v>
      </c>
      <c r="I81" s="386" t="s">
        <v>586</v>
      </c>
      <c r="J81" s="387">
        <v>48400</v>
      </c>
      <c r="K81" s="306">
        <v>68</v>
      </c>
      <c r="L81" s="304">
        <v>81600</v>
      </c>
      <c r="M81" s="355">
        <v>109</v>
      </c>
      <c r="N81" s="355">
        <v>132200</v>
      </c>
      <c r="O81" s="305">
        <f t="shared" si="58"/>
        <v>1.6029411764705883</v>
      </c>
      <c r="P81" s="305">
        <f t="shared" si="59"/>
        <v>1.6200980392156863</v>
      </c>
      <c r="Q81" s="306">
        <v>36</v>
      </c>
      <c r="R81" s="304">
        <v>43200</v>
      </c>
      <c r="S81" s="355">
        <v>80</v>
      </c>
      <c r="T81" s="355">
        <v>97200</v>
      </c>
      <c r="U81" s="305">
        <f t="shared" si="60"/>
        <v>2.2222222222222223</v>
      </c>
      <c r="V81" s="305">
        <f t="shared" si="61"/>
        <v>2.25</v>
      </c>
      <c r="W81" s="307">
        <v>24</v>
      </c>
      <c r="X81" s="304">
        <v>28800</v>
      </c>
      <c r="Y81" s="355">
        <v>61</v>
      </c>
      <c r="Z81" s="355">
        <v>74300</v>
      </c>
      <c r="AA81" s="305">
        <f t="shared" si="62"/>
        <v>2.5416666666666665</v>
      </c>
      <c r="AB81" s="308">
        <f t="shared" si="63"/>
        <v>2.5798611111111112</v>
      </c>
      <c r="AC81" s="286">
        <f t="shared" si="55"/>
        <v>1214.8</v>
      </c>
      <c r="AH81" s="390"/>
      <c r="AI81" s="390"/>
      <c r="AJ81" s="390"/>
      <c r="AK81" s="390"/>
      <c r="AL81" s="390"/>
      <c r="AM81" s="390"/>
      <c r="AN81" s="390"/>
      <c r="AO81" s="390"/>
      <c r="AP81" s="390"/>
      <c r="AQ81" s="390"/>
      <c r="AR81" s="390"/>
      <c r="AS81" s="390"/>
      <c r="AT81" s="390"/>
      <c r="AU81" s="390"/>
      <c r="AV81" s="390"/>
      <c r="AW81" s="390"/>
      <c r="AX81" s="390"/>
      <c r="AY81" s="390"/>
      <c r="AZ81" s="390"/>
      <c r="BA81" s="390"/>
      <c r="BB81" s="390"/>
    </row>
    <row r="82" spans="1:54" ht="63" x14ac:dyDescent="0.25">
      <c r="A82" s="296">
        <v>10</v>
      </c>
      <c r="B82" s="360" t="s">
        <v>154</v>
      </c>
      <c r="C82" s="304">
        <f t="shared" si="51"/>
        <v>89</v>
      </c>
      <c r="D82" s="304">
        <f t="shared" si="52"/>
        <v>106800</v>
      </c>
      <c r="E82" s="304">
        <f t="shared" si="53"/>
        <v>313</v>
      </c>
      <c r="F82" s="304">
        <f t="shared" si="54"/>
        <v>375900</v>
      </c>
      <c r="G82" s="305">
        <f t="shared" si="56"/>
        <v>3.5168539325842696</v>
      </c>
      <c r="H82" s="305">
        <f t="shared" si="57"/>
        <v>3.5196629213483148</v>
      </c>
      <c r="I82" s="386" t="s">
        <v>587</v>
      </c>
      <c r="J82" s="387">
        <v>9350</v>
      </c>
      <c r="K82" s="306">
        <v>36</v>
      </c>
      <c r="L82" s="304">
        <v>43200</v>
      </c>
      <c r="M82" s="355">
        <v>104</v>
      </c>
      <c r="N82" s="355">
        <v>124800</v>
      </c>
      <c r="O82" s="305">
        <f t="shared" si="58"/>
        <v>2.8888888888888888</v>
      </c>
      <c r="P82" s="305">
        <f t="shared" si="59"/>
        <v>2.8888888888888888</v>
      </c>
      <c r="Q82" s="306">
        <v>28</v>
      </c>
      <c r="R82" s="304">
        <v>33600</v>
      </c>
      <c r="S82" s="355">
        <v>112</v>
      </c>
      <c r="T82" s="355">
        <v>134600</v>
      </c>
      <c r="U82" s="305">
        <f t="shared" si="60"/>
        <v>4</v>
      </c>
      <c r="V82" s="305">
        <f t="shared" si="61"/>
        <v>4.0059523809523814</v>
      </c>
      <c r="W82" s="307">
        <v>25</v>
      </c>
      <c r="X82" s="304">
        <v>30000</v>
      </c>
      <c r="Y82" s="355">
        <v>97</v>
      </c>
      <c r="Z82" s="355">
        <v>116500</v>
      </c>
      <c r="AA82" s="305">
        <f t="shared" si="62"/>
        <v>3.88</v>
      </c>
      <c r="AB82" s="308">
        <f t="shared" si="63"/>
        <v>3.8833333333333333</v>
      </c>
      <c r="AC82" s="286">
        <f t="shared" si="55"/>
        <v>1200.9584664536742</v>
      </c>
      <c r="AH82" s="390"/>
      <c r="AI82" s="390"/>
      <c r="AJ82" s="390"/>
      <c r="AK82" s="390"/>
      <c r="AL82" s="390"/>
      <c r="AM82" s="390"/>
      <c r="AN82" s="390"/>
      <c r="AO82" s="390"/>
      <c r="AP82" s="390"/>
      <c r="AQ82" s="390"/>
      <c r="AR82" s="390"/>
      <c r="AS82" s="390"/>
      <c r="AT82" s="390"/>
      <c r="AU82" s="390"/>
      <c r="AV82" s="390"/>
      <c r="AW82" s="390"/>
      <c r="AX82" s="390"/>
      <c r="AY82" s="390"/>
      <c r="AZ82" s="390"/>
      <c r="BA82" s="390"/>
      <c r="BB82" s="390"/>
    </row>
    <row r="83" spans="1:54" ht="15.75" x14ac:dyDescent="0.25">
      <c r="A83" s="296">
        <v>11</v>
      </c>
      <c r="B83" s="360" t="s">
        <v>15</v>
      </c>
      <c r="C83" s="304">
        <f t="shared" si="51"/>
        <v>110</v>
      </c>
      <c r="D83" s="304">
        <f t="shared" si="52"/>
        <v>132000</v>
      </c>
      <c r="E83" s="304">
        <f t="shared" si="53"/>
        <v>0</v>
      </c>
      <c r="F83" s="304">
        <f t="shared" si="54"/>
        <v>0</v>
      </c>
      <c r="G83" s="305">
        <f t="shared" si="56"/>
        <v>0</v>
      </c>
      <c r="H83" s="305">
        <f t="shared" si="57"/>
        <v>0</v>
      </c>
      <c r="I83" s="386"/>
      <c r="J83" s="450"/>
      <c r="K83" s="306">
        <v>50</v>
      </c>
      <c r="L83" s="304">
        <v>60000</v>
      </c>
      <c r="M83" s="355"/>
      <c r="N83" s="355"/>
      <c r="O83" s="305">
        <f t="shared" si="58"/>
        <v>0</v>
      </c>
      <c r="P83" s="305">
        <f t="shared" si="59"/>
        <v>0</v>
      </c>
      <c r="Q83" s="306">
        <v>30</v>
      </c>
      <c r="R83" s="304">
        <v>36000</v>
      </c>
      <c r="S83" s="355"/>
      <c r="T83" s="355"/>
      <c r="U83" s="305">
        <f t="shared" si="60"/>
        <v>0</v>
      </c>
      <c r="V83" s="305">
        <f t="shared" si="61"/>
        <v>0</v>
      </c>
      <c r="W83" s="307">
        <v>30</v>
      </c>
      <c r="X83" s="304">
        <v>36000</v>
      </c>
      <c r="Y83" s="355"/>
      <c r="Z83" s="355"/>
      <c r="AA83" s="305">
        <f t="shared" si="62"/>
        <v>0</v>
      </c>
      <c r="AB83" s="308">
        <f t="shared" si="63"/>
        <v>0</v>
      </c>
      <c r="AC83" s="286" t="e">
        <f t="shared" si="55"/>
        <v>#DIV/0!</v>
      </c>
      <c r="AH83" s="390"/>
      <c r="AI83" s="390"/>
      <c r="AJ83" s="390"/>
      <c r="AK83" s="390"/>
      <c r="AL83" s="390"/>
      <c r="AM83" s="390"/>
      <c r="AN83" s="390"/>
      <c r="AO83" s="390"/>
      <c r="AP83" s="390"/>
      <c r="AQ83" s="390"/>
      <c r="AR83" s="390"/>
      <c r="AS83" s="390"/>
      <c r="AT83" s="390"/>
      <c r="AU83" s="390"/>
      <c r="AV83" s="390"/>
      <c r="AW83" s="390"/>
      <c r="AX83" s="390"/>
      <c r="AY83" s="390"/>
      <c r="AZ83" s="390"/>
      <c r="BA83" s="390"/>
      <c r="BB83" s="390"/>
    </row>
    <row r="84" spans="1:54" ht="15.75" x14ac:dyDescent="0.25">
      <c r="A84" s="296">
        <v>12</v>
      </c>
      <c r="B84" s="360" t="s">
        <v>155</v>
      </c>
      <c r="C84" s="304">
        <f t="shared" si="51"/>
        <v>0</v>
      </c>
      <c r="D84" s="304">
        <f t="shared" si="52"/>
        <v>0</v>
      </c>
      <c r="E84" s="304">
        <f t="shared" si="53"/>
        <v>513</v>
      </c>
      <c r="F84" s="304">
        <f t="shared" si="54"/>
        <v>435600</v>
      </c>
      <c r="G84" s="305" t="e">
        <f t="shared" si="56"/>
        <v>#DIV/0!</v>
      </c>
      <c r="H84" s="305" t="e">
        <f t="shared" si="57"/>
        <v>#DIV/0!</v>
      </c>
      <c r="I84" s="386"/>
      <c r="J84" s="450"/>
      <c r="K84" s="306"/>
      <c r="L84" s="304"/>
      <c r="M84" s="355">
        <v>199</v>
      </c>
      <c r="N84" s="355">
        <v>180000</v>
      </c>
      <c r="O84" s="305" t="e">
        <f t="shared" si="58"/>
        <v>#DIV/0!</v>
      </c>
      <c r="P84" s="305" t="e">
        <f t="shared" si="59"/>
        <v>#DIV/0!</v>
      </c>
      <c r="Q84" s="306"/>
      <c r="R84" s="304"/>
      <c r="S84" s="355">
        <v>174</v>
      </c>
      <c r="T84" s="355">
        <v>147600</v>
      </c>
      <c r="U84" s="305" t="e">
        <f t="shared" si="60"/>
        <v>#DIV/0!</v>
      </c>
      <c r="V84" s="305" t="e">
        <f t="shared" si="61"/>
        <v>#DIV/0!</v>
      </c>
      <c r="W84" s="307"/>
      <c r="X84" s="304"/>
      <c r="Y84" s="355">
        <v>140</v>
      </c>
      <c r="Z84" s="355">
        <v>108000</v>
      </c>
      <c r="AA84" s="305" t="e">
        <f t="shared" si="62"/>
        <v>#DIV/0!</v>
      </c>
      <c r="AB84" s="308" t="e">
        <f t="shared" si="63"/>
        <v>#DIV/0!</v>
      </c>
      <c r="AC84" s="286">
        <f t="shared" si="55"/>
        <v>849.12280701754389</v>
      </c>
      <c r="AH84" s="390"/>
      <c r="AI84" s="390"/>
      <c r="AJ84" s="390"/>
      <c r="AK84" s="390"/>
      <c r="AL84" s="390"/>
      <c r="AM84" s="390"/>
      <c r="AN84" s="390"/>
      <c r="AO84" s="390"/>
      <c r="AP84" s="390"/>
      <c r="AQ84" s="390"/>
      <c r="AR84" s="390"/>
      <c r="AS84" s="390"/>
      <c r="AT84" s="390"/>
      <c r="AU84" s="390"/>
      <c r="AV84" s="390"/>
      <c r="AW84" s="390"/>
      <c r="AX84" s="390"/>
      <c r="AY84" s="390"/>
      <c r="AZ84" s="390"/>
      <c r="BA84" s="390"/>
      <c r="BB84" s="390"/>
    </row>
    <row r="85" spans="1:54" ht="15.75" x14ac:dyDescent="0.25">
      <c r="A85" s="296">
        <v>13</v>
      </c>
      <c r="B85" s="359" t="s">
        <v>17</v>
      </c>
      <c r="C85" s="304">
        <f t="shared" si="51"/>
        <v>116</v>
      </c>
      <c r="D85" s="304">
        <f t="shared" si="52"/>
        <v>139200</v>
      </c>
      <c r="E85" s="304">
        <f t="shared" si="53"/>
        <v>419</v>
      </c>
      <c r="F85" s="304">
        <f t="shared" si="54"/>
        <v>252600</v>
      </c>
      <c r="G85" s="305">
        <f t="shared" si="56"/>
        <v>3.6120689655172415</v>
      </c>
      <c r="H85" s="305">
        <f t="shared" si="57"/>
        <v>1.8146551724137931</v>
      </c>
      <c r="I85" s="386"/>
      <c r="J85" s="387"/>
      <c r="K85" s="306">
        <v>50</v>
      </c>
      <c r="L85" s="304">
        <v>60000</v>
      </c>
      <c r="M85" s="355">
        <v>169</v>
      </c>
      <c r="N85" s="355">
        <v>102000</v>
      </c>
      <c r="O85" s="305">
        <f t="shared" si="58"/>
        <v>3.38</v>
      </c>
      <c r="P85" s="305">
        <f t="shared" si="59"/>
        <v>1.7</v>
      </c>
      <c r="Q85" s="306">
        <v>35</v>
      </c>
      <c r="R85" s="304">
        <v>42000</v>
      </c>
      <c r="S85" s="355">
        <v>109</v>
      </c>
      <c r="T85" s="355">
        <v>66000</v>
      </c>
      <c r="U85" s="305">
        <f t="shared" si="60"/>
        <v>3.1142857142857143</v>
      </c>
      <c r="V85" s="305">
        <f t="shared" si="61"/>
        <v>1.5714285714285714</v>
      </c>
      <c r="W85" s="307">
        <v>31</v>
      </c>
      <c r="X85" s="304">
        <v>37200</v>
      </c>
      <c r="Y85" s="355">
        <v>141</v>
      </c>
      <c r="Z85" s="355">
        <v>84600</v>
      </c>
      <c r="AA85" s="305">
        <f t="shared" si="62"/>
        <v>4.5483870967741939</v>
      </c>
      <c r="AB85" s="308">
        <f t="shared" si="63"/>
        <v>2.274193548387097</v>
      </c>
      <c r="AC85" s="286">
        <f t="shared" si="55"/>
        <v>602.86396181384248</v>
      </c>
      <c r="AH85" s="390"/>
      <c r="AI85" s="390"/>
      <c r="AJ85" s="390"/>
      <c r="AK85" s="390"/>
      <c r="AL85" s="390"/>
      <c r="AM85" s="390"/>
      <c r="AN85" s="390"/>
      <c r="AO85" s="390"/>
      <c r="AP85" s="390"/>
      <c r="AQ85" s="390"/>
      <c r="AR85" s="390"/>
      <c r="AS85" s="390"/>
      <c r="AT85" s="390"/>
      <c r="AU85" s="390"/>
      <c r="AV85" s="390"/>
      <c r="AW85" s="390"/>
      <c r="AX85" s="390"/>
      <c r="AY85" s="390"/>
      <c r="AZ85" s="390"/>
      <c r="BA85" s="390"/>
      <c r="BB85" s="390"/>
    </row>
    <row r="86" spans="1:54" ht="16.5" thickBot="1" x14ac:dyDescent="0.3">
      <c r="A86" s="402">
        <v>14</v>
      </c>
      <c r="B86" s="362" t="s">
        <v>18</v>
      </c>
      <c r="C86" s="309">
        <f t="shared" si="51"/>
        <v>201</v>
      </c>
      <c r="D86" s="309">
        <f t="shared" si="52"/>
        <v>241200</v>
      </c>
      <c r="E86" s="309">
        <f t="shared" si="53"/>
        <v>0</v>
      </c>
      <c r="F86" s="309">
        <f t="shared" si="54"/>
        <v>0</v>
      </c>
      <c r="G86" s="310">
        <f t="shared" si="56"/>
        <v>0</v>
      </c>
      <c r="H86" s="310">
        <f t="shared" si="57"/>
        <v>0</v>
      </c>
      <c r="I86" s="388"/>
      <c r="J86" s="389"/>
      <c r="K86" s="311">
        <v>106</v>
      </c>
      <c r="L86" s="309">
        <v>127200</v>
      </c>
      <c r="M86" s="356"/>
      <c r="N86" s="356"/>
      <c r="O86" s="310">
        <f t="shared" si="58"/>
        <v>0</v>
      </c>
      <c r="P86" s="310">
        <f t="shared" si="59"/>
        <v>0</v>
      </c>
      <c r="Q86" s="311">
        <v>54</v>
      </c>
      <c r="R86" s="309">
        <v>64800</v>
      </c>
      <c r="S86" s="356"/>
      <c r="T86" s="356"/>
      <c r="U86" s="310">
        <f t="shared" si="60"/>
        <v>0</v>
      </c>
      <c r="V86" s="310">
        <f t="shared" si="61"/>
        <v>0</v>
      </c>
      <c r="W86" s="312">
        <v>41</v>
      </c>
      <c r="X86" s="309">
        <v>49200</v>
      </c>
      <c r="Y86" s="356"/>
      <c r="Z86" s="356"/>
      <c r="AA86" s="310">
        <f t="shared" si="62"/>
        <v>0</v>
      </c>
      <c r="AB86" s="313">
        <f t="shared" si="63"/>
        <v>0</v>
      </c>
      <c r="AC86" s="286" t="e">
        <f t="shared" si="55"/>
        <v>#DIV/0!</v>
      </c>
      <c r="AH86" s="390"/>
      <c r="AI86" s="390"/>
      <c r="AJ86" s="390"/>
      <c r="AK86" s="390"/>
      <c r="AL86" s="390"/>
      <c r="AM86" s="390"/>
      <c r="AN86" s="390"/>
      <c r="AO86" s="390"/>
      <c r="AP86" s="390"/>
      <c r="AQ86" s="390"/>
      <c r="AR86" s="390"/>
      <c r="AS86" s="390"/>
      <c r="AT86" s="390"/>
      <c r="AU86" s="390"/>
      <c r="AV86" s="390"/>
      <c r="AW86" s="390"/>
      <c r="AX86" s="390"/>
      <c r="AY86" s="390"/>
      <c r="AZ86" s="390"/>
      <c r="BA86" s="390"/>
      <c r="BB86" s="390"/>
    </row>
    <row r="88" spans="1:54" ht="19.5" thickBot="1" x14ac:dyDescent="0.35">
      <c r="B88" s="376" t="s">
        <v>591</v>
      </c>
    </row>
    <row r="89" spans="1:54" ht="16.5" customHeight="1" thickBot="1" x14ac:dyDescent="0.3">
      <c r="A89" s="664" t="s">
        <v>0</v>
      </c>
      <c r="B89" s="667" t="s">
        <v>195</v>
      </c>
      <c r="C89" s="670" t="s">
        <v>196</v>
      </c>
      <c r="D89" s="671"/>
      <c r="E89" s="671"/>
      <c r="F89" s="671"/>
      <c r="G89" s="671"/>
      <c r="H89" s="672"/>
      <c r="I89" s="673" t="s">
        <v>557</v>
      </c>
      <c r="J89" s="674"/>
      <c r="K89" s="679" t="s">
        <v>197</v>
      </c>
      <c r="L89" s="680"/>
      <c r="M89" s="680"/>
      <c r="N89" s="680"/>
      <c r="O89" s="680"/>
      <c r="P89" s="680"/>
      <c r="Q89" s="680"/>
      <c r="R89" s="680"/>
      <c r="S89" s="680"/>
      <c r="T89" s="680"/>
      <c r="U89" s="680"/>
      <c r="V89" s="680"/>
      <c r="W89" s="680"/>
      <c r="X89" s="680"/>
      <c r="Y89" s="680"/>
      <c r="Z89" s="680"/>
      <c r="AA89" s="680"/>
      <c r="AB89" s="681"/>
    </row>
    <row r="90" spans="1:54" ht="15.75" customHeight="1" x14ac:dyDescent="0.25">
      <c r="A90" s="665"/>
      <c r="B90" s="668"/>
      <c r="C90" s="682" t="s">
        <v>143</v>
      </c>
      <c r="D90" s="683"/>
      <c r="E90" s="686" t="s">
        <v>198</v>
      </c>
      <c r="F90" s="683"/>
      <c r="G90" s="686" t="s">
        <v>199</v>
      </c>
      <c r="H90" s="688"/>
      <c r="I90" s="675"/>
      <c r="J90" s="676"/>
      <c r="K90" s="690" t="s">
        <v>200</v>
      </c>
      <c r="L90" s="691"/>
      <c r="M90" s="691"/>
      <c r="N90" s="691"/>
      <c r="O90" s="691"/>
      <c r="P90" s="692"/>
      <c r="Q90" s="690" t="s">
        <v>201</v>
      </c>
      <c r="R90" s="691"/>
      <c r="S90" s="691"/>
      <c r="T90" s="691"/>
      <c r="U90" s="691"/>
      <c r="V90" s="692"/>
      <c r="W90" s="690" t="s">
        <v>202</v>
      </c>
      <c r="X90" s="691"/>
      <c r="Y90" s="691"/>
      <c r="Z90" s="691"/>
      <c r="AA90" s="691"/>
      <c r="AB90" s="692"/>
    </row>
    <row r="91" spans="1:54" ht="15.75" x14ac:dyDescent="0.25">
      <c r="A91" s="665"/>
      <c r="B91" s="668"/>
      <c r="C91" s="684"/>
      <c r="D91" s="685"/>
      <c r="E91" s="687"/>
      <c r="F91" s="685"/>
      <c r="G91" s="687"/>
      <c r="H91" s="689"/>
      <c r="I91" s="677"/>
      <c r="J91" s="678"/>
      <c r="K91" s="693" t="s">
        <v>143</v>
      </c>
      <c r="L91" s="694"/>
      <c r="M91" s="695" t="s">
        <v>198</v>
      </c>
      <c r="N91" s="694"/>
      <c r="O91" s="695" t="s">
        <v>199</v>
      </c>
      <c r="P91" s="696"/>
      <c r="Q91" s="693" t="s">
        <v>143</v>
      </c>
      <c r="R91" s="694"/>
      <c r="S91" s="695" t="s">
        <v>198</v>
      </c>
      <c r="T91" s="694"/>
      <c r="U91" s="695" t="s">
        <v>199</v>
      </c>
      <c r="V91" s="696"/>
      <c r="W91" s="693" t="s">
        <v>143</v>
      </c>
      <c r="X91" s="694"/>
      <c r="Y91" s="695" t="s">
        <v>198</v>
      </c>
      <c r="Z91" s="694"/>
      <c r="AA91" s="695" t="s">
        <v>199</v>
      </c>
      <c r="AB91" s="696"/>
    </row>
    <row r="92" spans="1:54" ht="16.5" thickBot="1" x14ac:dyDescent="0.3">
      <c r="A92" s="666"/>
      <c r="B92" s="669"/>
      <c r="C92" s="489" t="s">
        <v>203</v>
      </c>
      <c r="D92" s="290" t="s">
        <v>204</v>
      </c>
      <c r="E92" s="290" t="s">
        <v>203</v>
      </c>
      <c r="F92" s="290" t="s">
        <v>204</v>
      </c>
      <c r="G92" s="290" t="s">
        <v>203</v>
      </c>
      <c r="H92" s="290" t="s">
        <v>204</v>
      </c>
      <c r="I92" s="489" t="s">
        <v>558</v>
      </c>
      <c r="J92" s="491" t="s">
        <v>204</v>
      </c>
      <c r="K92" s="489" t="s">
        <v>203</v>
      </c>
      <c r="L92" s="290" t="s">
        <v>204</v>
      </c>
      <c r="M92" s="290" t="s">
        <v>203</v>
      </c>
      <c r="N92" s="290" t="s">
        <v>204</v>
      </c>
      <c r="O92" s="290" t="s">
        <v>203</v>
      </c>
      <c r="P92" s="290" t="s">
        <v>204</v>
      </c>
      <c r="Q92" s="489" t="s">
        <v>203</v>
      </c>
      <c r="R92" s="290" t="s">
        <v>204</v>
      </c>
      <c r="S92" s="290" t="s">
        <v>203</v>
      </c>
      <c r="T92" s="290" t="s">
        <v>204</v>
      </c>
      <c r="U92" s="290" t="s">
        <v>203</v>
      </c>
      <c r="V92" s="290" t="s">
        <v>204</v>
      </c>
      <c r="W92" s="489" t="s">
        <v>203</v>
      </c>
      <c r="X92" s="290" t="s">
        <v>204</v>
      </c>
      <c r="Y92" s="290" t="s">
        <v>203</v>
      </c>
      <c r="Z92" s="290" t="s">
        <v>204</v>
      </c>
      <c r="AA92" s="290" t="s">
        <v>203</v>
      </c>
      <c r="AB92" s="491" t="s">
        <v>204</v>
      </c>
    </row>
    <row r="93" spans="1:54" ht="16.5" customHeight="1" thickBot="1" x14ac:dyDescent="0.3">
      <c r="A93" s="662" t="s">
        <v>163</v>
      </c>
      <c r="B93" s="663"/>
      <c r="C93" s="291">
        <f t="shared" ref="C93:I93" si="64">SUM(C95:C107)</f>
        <v>2352</v>
      </c>
      <c r="D93" s="292">
        <f t="shared" si="64"/>
        <v>2822400</v>
      </c>
      <c r="E93" s="292">
        <f t="shared" si="64"/>
        <v>1424</v>
      </c>
      <c r="F93" s="292">
        <f t="shared" si="64"/>
        <v>1297920</v>
      </c>
      <c r="G93" s="292" t="e">
        <f t="shared" si="64"/>
        <v>#DIV/0!</v>
      </c>
      <c r="H93" s="292" t="e">
        <f t="shared" si="64"/>
        <v>#DIV/0!</v>
      </c>
      <c r="I93" s="291">
        <f t="shared" si="64"/>
        <v>0</v>
      </c>
      <c r="J93" s="383">
        <f t="shared" ref="J93:AB93" si="65">SUM(J95:J107)</f>
        <v>47065</v>
      </c>
      <c r="K93" s="291">
        <f t="shared" si="65"/>
        <v>658</v>
      </c>
      <c r="L93" s="292">
        <f t="shared" si="65"/>
        <v>789600</v>
      </c>
      <c r="M93" s="292">
        <f t="shared" si="65"/>
        <v>552</v>
      </c>
      <c r="N93" s="292">
        <f t="shared" si="65"/>
        <v>563120</v>
      </c>
      <c r="O93" s="292" t="e">
        <f t="shared" si="65"/>
        <v>#DIV/0!</v>
      </c>
      <c r="P93" s="293" t="e">
        <f t="shared" si="65"/>
        <v>#DIV/0!</v>
      </c>
      <c r="Q93" s="291">
        <f t="shared" si="65"/>
        <v>1152</v>
      </c>
      <c r="R93" s="292">
        <f t="shared" si="65"/>
        <v>1382400</v>
      </c>
      <c r="S93" s="292">
        <f t="shared" si="65"/>
        <v>607</v>
      </c>
      <c r="T93" s="292">
        <f t="shared" si="65"/>
        <v>462620</v>
      </c>
      <c r="U93" s="292" t="e">
        <f t="shared" si="65"/>
        <v>#DIV/0!</v>
      </c>
      <c r="V93" s="293" t="e">
        <f t="shared" si="65"/>
        <v>#DIV/0!</v>
      </c>
      <c r="W93" s="291">
        <f t="shared" si="65"/>
        <v>542</v>
      </c>
      <c r="X93" s="292">
        <f t="shared" si="65"/>
        <v>650400</v>
      </c>
      <c r="Y93" s="292">
        <f t="shared" si="65"/>
        <v>265</v>
      </c>
      <c r="Z93" s="292">
        <f t="shared" si="65"/>
        <v>272180</v>
      </c>
      <c r="AA93" s="292" t="e">
        <f t="shared" si="65"/>
        <v>#DIV/0!</v>
      </c>
      <c r="AB93" s="293" t="e">
        <f t="shared" si="65"/>
        <v>#DIV/0!</v>
      </c>
    </row>
    <row r="94" spans="1:54" ht="15.75" x14ac:dyDescent="0.25">
      <c r="A94" s="296">
        <v>1</v>
      </c>
      <c r="B94" s="358" t="s">
        <v>127</v>
      </c>
      <c r="C94" s="297"/>
      <c r="D94" s="297"/>
      <c r="E94" s="297"/>
      <c r="F94" s="297"/>
      <c r="G94" s="298"/>
      <c r="H94" s="298"/>
      <c r="I94" s="384"/>
      <c r="J94" s="385"/>
      <c r="K94" s="299"/>
      <c r="L94" s="297"/>
      <c r="M94" s="354"/>
      <c r="N94" s="354"/>
      <c r="O94" s="298"/>
      <c r="P94" s="298"/>
      <c r="Q94" s="299"/>
      <c r="R94" s="297"/>
      <c r="S94" s="354"/>
      <c r="T94" s="354"/>
      <c r="U94" s="298"/>
      <c r="V94" s="298"/>
      <c r="W94" s="300"/>
      <c r="X94" s="297"/>
      <c r="Y94" s="354"/>
      <c r="Z94" s="354"/>
      <c r="AA94" s="298"/>
      <c r="AB94" s="301"/>
    </row>
    <row r="95" spans="1:54" ht="15.75" x14ac:dyDescent="0.25">
      <c r="A95" s="296">
        <v>2</v>
      </c>
      <c r="B95" s="358" t="s">
        <v>205</v>
      </c>
      <c r="C95" s="297">
        <f t="shared" ref="C95:C107" si="66">+K95+Q95+W95</f>
        <v>659</v>
      </c>
      <c r="D95" s="297">
        <f t="shared" ref="D95:D107" si="67">+L95+R95+X95</f>
        <v>790800</v>
      </c>
      <c r="E95" s="297">
        <f>+M95+S95+Y95</f>
        <v>290</v>
      </c>
      <c r="F95" s="297">
        <f t="shared" ref="F95:F107" si="68">+N95+T95+Z95</f>
        <v>191400</v>
      </c>
      <c r="G95" s="298">
        <f>+E95/C95</f>
        <v>0.44006069802731412</v>
      </c>
      <c r="H95" s="298">
        <f>+F95/D95</f>
        <v>0.24203338391502277</v>
      </c>
      <c r="I95" s="384"/>
      <c r="J95" s="385"/>
      <c r="K95" s="299"/>
      <c r="L95" s="297"/>
      <c r="M95" s="354"/>
      <c r="N95" s="354"/>
      <c r="O95" s="298" t="e">
        <f>+M95/K95</f>
        <v>#DIV/0!</v>
      </c>
      <c r="P95" s="298" t="e">
        <f>+N95/L95</f>
        <v>#DIV/0!</v>
      </c>
      <c r="Q95" s="299">
        <v>659</v>
      </c>
      <c r="R95" s="297">
        <v>790800</v>
      </c>
      <c r="S95" s="354">
        <v>290</v>
      </c>
      <c r="T95" s="354">
        <v>191400</v>
      </c>
      <c r="U95" s="298">
        <f>+S95/Q95</f>
        <v>0.44006069802731412</v>
      </c>
      <c r="V95" s="298">
        <f>+T95/R95</f>
        <v>0.24203338391502277</v>
      </c>
      <c r="W95" s="300"/>
      <c r="X95" s="297"/>
      <c r="Y95" s="354"/>
      <c r="Z95" s="354"/>
      <c r="AA95" s="298" t="e">
        <f>+Y95/W95</f>
        <v>#DIV/0!</v>
      </c>
      <c r="AB95" s="301" t="e">
        <f>+Z95/X95</f>
        <v>#DIV/0!</v>
      </c>
      <c r="AC95" s="286">
        <f t="shared" ref="AC95:AC107" si="69">F95/E95</f>
        <v>660</v>
      </c>
    </row>
    <row r="96" spans="1:54" ht="15.75" x14ac:dyDescent="0.25">
      <c r="A96" s="296">
        <v>3</v>
      </c>
      <c r="B96" s="359" t="s">
        <v>147</v>
      </c>
      <c r="C96" s="304">
        <f t="shared" si="66"/>
        <v>0</v>
      </c>
      <c r="D96" s="304">
        <f t="shared" si="67"/>
        <v>0</v>
      </c>
      <c r="E96" s="304">
        <f>+M96+S96+Y96</f>
        <v>0</v>
      </c>
      <c r="F96" s="304">
        <f t="shared" si="68"/>
        <v>0</v>
      </c>
      <c r="G96" s="305" t="e">
        <f t="shared" ref="G96:G107" si="70">+E96/C96</f>
        <v>#DIV/0!</v>
      </c>
      <c r="H96" s="305" t="e">
        <f t="shared" ref="H96:H107" si="71">+F96/D96</f>
        <v>#DIV/0!</v>
      </c>
      <c r="I96" s="386"/>
      <c r="J96" s="387"/>
      <c r="K96" s="306"/>
      <c r="L96" s="304"/>
      <c r="M96" s="355"/>
      <c r="N96" s="355"/>
      <c r="O96" s="305" t="e">
        <f t="shared" ref="O96:O107" si="72">+M96/K96</f>
        <v>#DIV/0!</v>
      </c>
      <c r="P96" s="305" t="e">
        <f t="shared" ref="P96:P107" si="73">+N96/L96</f>
        <v>#DIV/0!</v>
      </c>
      <c r="Q96" s="306"/>
      <c r="R96" s="304"/>
      <c r="S96" s="355"/>
      <c r="T96" s="355"/>
      <c r="U96" s="305" t="e">
        <f t="shared" ref="U96:U107" si="74">+S96/Q96</f>
        <v>#DIV/0!</v>
      </c>
      <c r="V96" s="305" t="e">
        <f t="shared" ref="V96:V107" si="75">+T96/R96</f>
        <v>#DIV/0!</v>
      </c>
      <c r="W96" s="307"/>
      <c r="X96" s="304"/>
      <c r="Y96" s="355"/>
      <c r="Z96" s="355"/>
      <c r="AA96" s="305" t="e">
        <f t="shared" ref="AA96:AA107" si="76">+Y96/W96</f>
        <v>#DIV/0!</v>
      </c>
      <c r="AB96" s="308" t="e">
        <f t="shared" ref="AB96:AB107" si="77">+Z96/X96</f>
        <v>#DIV/0!</v>
      </c>
      <c r="AC96" s="286" t="e">
        <f t="shared" si="69"/>
        <v>#DIV/0!</v>
      </c>
    </row>
    <row r="97" spans="1:29" ht="31.5" x14ac:dyDescent="0.25">
      <c r="A97" s="296">
        <v>4</v>
      </c>
      <c r="B97" s="359" t="s">
        <v>148</v>
      </c>
      <c r="C97" s="304">
        <f t="shared" si="66"/>
        <v>142</v>
      </c>
      <c r="D97" s="304">
        <f t="shared" si="67"/>
        <v>170400</v>
      </c>
      <c r="E97" s="304">
        <f>+M97+S97+Y97</f>
        <v>115</v>
      </c>
      <c r="F97" s="304">
        <f t="shared" si="68"/>
        <v>151800</v>
      </c>
      <c r="G97" s="305">
        <f t="shared" si="70"/>
        <v>0.8098591549295775</v>
      </c>
      <c r="H97" s="305">
        <f t="shared" si="71"/>
        <v>0.89084507042253525</v>
      </c>
      <c r="I97" s="386" t="s">
        <v>592</v>
      </c>
      <c r="J97" s="387">
        <v>15950</v>
      </c>
      <c r="K97" s="306"/>
      <c r="L97" s="304"/>
      <c r="M97" s="355">
        <v>61</v>
      </c>
      <c r="N97" s="355">
        <v>80520</v>
      </c>
      <c r="O97" s="305" t="e">
        <f t="shared" si="72"/>
        <v>#DIV/0!</v>
      </c>
      <c r="P97" s="305" t="e">
        <f t="shared" si="73"/>
        <v>#DIV/0!</v>
      </c>
      <c r="Q97" s="306"/>
      <c r="R97" s="304"/>
      <c r="S97" s="355"/>
      <c r="T97" s="355"/>
      <c r="U97" s="305" t="e">
        <f t="shared" si="74"/>
        <v>#DIV/0!</v>
      </c>
      <c r="V97" s="305" t="e">
        <f t="shared" si="75"/>
        <v>#DIV/0!</v>
      </c>
      <c r="W97" s="307">
        <v>142</v>
      </c>
      <c r="X97" s="304">
        <v>170400</v>
      </c>
      <c r="Y97" s="355">
        <v>54</v>
      </c>
      <c r="Z97" s="355">
        <v>71280</v>
      </c>
      <c r="AA97" s="305">
        <f t="shared" si="76"/>
        <v>0.38028169014084506</v>
      </c>
      <c r="AB97" s="308">
        <f t="shared" si="77"/>
        <v>0.41830985915492958</v>
      </c>
      <c r="AC97" s="286">
        <f t="shared" si="69"/>
        <v>1320</v>
      </c>
    </row>
    <row r="98" spans="1:29" ht="63" x14ac:dyDescent="0.25">
      <c r="A98" s="296">
        <v>5</v>
      </c>
      <c r="B98" s="360" t="s">
        <v>206</v>
      </c>
      <c r="C98" s="304">
        <f t="shared" si="66"/>
        <v>199</v>
      </c>
      <c r="D98" s="304">
        <f t="shared" si="67"/>
        <v>238800</v>
      </c>
      <c r="E98" s="304">
        <f>+M98+S98+Y98</f>
        <v>32</v>
      </c>
      <c r="F98" s="304">
        <f t="shared" si="68"/>
        <v>39600</v>
      </c>
      <c r="G98" s="305">
        <f t="shared" si="70"/>
        <v>0.16080402010050251</v>
      </c>
      <c r="H98" s="305">
        <f t="shared" si="71"/>
        <v>0.16582914572864321</v>
      </c>
      <c r="I98" s="386" t="s">
        <v>593</v>
      </c>
      <c r="J98" s="450">
        <v>16145</v>
      </c>
      <c r="K98" s="306">
        <v>80</v>
      </c>
      <c r="L98" s="304">
        <v>96000</v>
      </c>
      <c r="M98" s="355"/>
      <c r="N98" s="355"/>
      <c r="O98" s="305">
        <f t="shared" si="72"/>
        <v>0</v>
      </c>
      <c r="P98" s="305">
        <f t="shared" si="73"/>
        <v>0</v>
      </c>
      <c r="Q98" s="306">
        <v>70</v>
      </c>
      <c r="R98" s="304">
        <v>84000</v>
      </c>
      <c r="S98" s="355">
        <v>32</v>
      </c>
      <c r="T98" s="355">
        <v>39600</v>
      </c>
      <c r="U98" s="305">
        <f t="shared" si="74"/>
        <v>0.45714285714285713</v>
      </c>
      <c r="V98" s="305">
        <f t="shared" si="75"/>
        <v>0.47142857142857142</v>
      </c>
      <c r="W98" s="307">
        <v>49</v>
      </c>
      <c r="X98" s="304">
        <v>58800</v>
      </c>
      <c r="Y98" s="355"/>
      <c r="Z98" s="355"/>
      <c r="AA98" s="305">
        <f t="shared" si="76"/>
        <v>0</v>
      </c>
      <c r="AB98" s="308">
        <f t="shared" si="77"/>
        <v>0</v>
      </c>
      <c r="AC98" s="286">
        <f t="shared" si="69"/>
        <v>1237.5</v>
      </c>
    </row>
    <row r="99" spans="1:29" ht="15.75" x14ac:dyDescent="0.25">
      <c r="A99" s="296">
        <v>6</v>
      </c>
      <c r="B99" s="359" t="s">
        <v>174</v>
      </c>
      <c r="C99" s="304">
        <f t="shared" si="66"/>
        <v>360</v>
      </c>
      <c r="D99" s="304">
        <f t="shared" si="67"/>
        <v>432000</v>
      </c>
      <c r="E99" s="304">
        <f>+M99+S99+Y99</f>
        <v>120</v>
      </c>
      <c r="F99" s="304">
        <f t="shared" si="68"/>
        <v>158400</v>
      </c>
      <c r="G99" s="305">
        <f t="shared" si="70"/>
        <v>0.33333333333333331</v>
      </c>
      <c r="H99" s="305">
        <f t="shared" si="71"/>
        <v>0.36666666666666664</v>
      </c>
      <c r="I99" s="386"/>
      <c r="J99" s="387"/>
      <c r="K99" s="306">
        <v>120</v>
      </c>
      <c r="L99" s="304">
        <v>144000</v>
      </c>
      <c r="M99" s="355">
        <v>44</v>
      </c>
      <c r="N99" s="355">
        <v>58100</v>
      </c>
      <c r="O99" s="305">
        <f t="shared" si="72"/>
        <v>0.36666666666666664</v>
      </c>
      <c r="P99" s="305">
        <f t="shared" si="73"/>
        <v>0.40347222222222223</v>
      </c>
      <c r="Q99" s="306">
        <v>120</v>
      </c>
      <c r="R99" s="304">
        <v>144000</v>
      </c>
      <c r="S99" s="355">
        <v>47</v>
      </c>
      <c r="T99" s="355">
        <v>62000</v>
      </c>
      <c r="U99" s="305">
        <f t="shared" si="74"/>
        <v>0.39166666666666666</v>
      </c>
      <c r="V99" s="305">
        <f t="shared" si="75"/>
        <v>0.43055555555555558</v>
      </c>
      <c r="W99" s="307">
        <v>120</v>
      </c>
      <c r="X99" s="304">
        <v>144000</v>
      </c>
      <c r="Y99" s="355">
        <v>29</v>
      </c>
      <c r="Z99" s="355">
        <v>38300</v>
      </c>
      <c r="AA99" s="305">
        <f t="shared" si="76"/>
        <v>0.24166666666666667</v>
      </c>
      <c r="AB99" s="308">
        <f t="shared" si="77"/>
        <v>0.26597222222222222</v>
      </c>
      <c r="AC99" s="286">
        <f t="shared" si="69"/>
        <v>1320</v>
      </c>
    </row>
    <row r="100" spans="1:29" ht="15.75" x14ac:dyDescent="0.25">
      <c r="A100" s="296">
        <v>7</v>
      </c>
      <c r="B100" s="360" t="s">
        <v>151</v>
      </c>
      <c r="C100" s="304">
        <f t="shared" si="66"/>
        <v>348</v>
      </c>
      <c r="D100" s="304">
        <f t="shared" si="67"/>
        <v>417600</v>
      </c>
      <c r="E100" s="304">
        <f t="shared" ref="E100:E107" si="78">+M100+S100+Y100</f>
        <v>0</v>
      </c>
      <c r="F100" s="304">
        <f t="shared" si="68"/>
        <v>0</v>
      </c>
      <c r="G100" s="305">
        <f t="shared" si="70"/>
        <v>0</v>
      </c>
      <c r="H100" s="305">
        <f t="shared" si="71"/>
        <v>0</v>
      </c>
      <c r="I100" s="386"/>
      <c r="J100" s="387"/>
      <c r="K100" s="306">
        <v>148</v>
      </c>
      <c r="L100" s="304">
        <v>177600</v>
      </c>
      <c r="M100" s="355"/>
      <c r="N100" s="355"/>
      <c r="O100" s="305">
        <f t="shared" si="72"/>
        <v>0</v>
      </c>
      <c r="P100" s="305">
        <f t="shared" si="73"/>
        <v>0</v>
      </c>
      <c r="Q100" s="306">
        <v>120</v>
      </c>
      <c r="R100" s="304">
        <v>144000</v>
      </c>
      <c r="S100" s="355"/>
      <c r="T100" s="355"/>
      <c r="U100" s="305">
        <f t="shared" si="74"/>
        <v>0</v>
      </c>
      <c r="V100" s="305">
        <f t="shared" si="75"/>
        <v>0</v>
      </c>
      <c r="W100" s="307">
        <v>80</v>
      </c>
      <c r="X100" s="304">
        <v>96000</v>
      </c>
      <c r="Y100" s="355"/>
      <c r="Z100" s="355"/>
      <c r="AA100" s="305">
        <f t="shared" si="76"/>
        <v>0</v>
      </c>
      <c r="AB100" s="308">
        <f t="shared" si="77"/>
        <v>0</v>
      </c>
      <c r="AC100" s="286" t="e">
        <f t="shared" si="69"/>
        <v>#DIV/0!</v>
      </c>
    </row>
    <row r="101" spans="1:29" ht="15.75" x14ac:dyDescent="0.25">
      <c r="A101" s="296">
        <v>8</v>
      </c>
      <c r="B101" s="360" t="s">
        <v>207</v>
      </c>
      <c r="C101" s="304">
        <f t="shared" si="66"/>
        <v>0</v>
      </c>
      <c r="D101" s="304">
        <f t="shared" si="67"/>
        <v>0</v>
      </c>
      <c r="E101" s="304">
        <f t="shared" si="78"/>
        <v>102</v>
      </c>
      <c r="F101" s="304">
        <f t="shared" si="68"/>
        <v>132000</v>
      </c>
      <c r="G101" s="305" t="e">
        <f t="shared" si="70"/>
        <v>#DIV/0!</v>
      </c>
      <c r="H101" s="305" t="e">
        <f t="shared" si="71"/>
        <v>#DIV/0!</v>
      </c>
      <c r="I101" s="386"/>
      <c r="J101" s="387"/>
      <c r="K101" s="306"/>
      <c r="L101" s="304"/>
      <c r="M101" s="355">
        <v>102</v>
      </c>
      <c r="N101" s="355">
        <v>132000</v>
      </c>
      <c r="O101" s="305" t="e">
        <f t="shared" si="72"/>
        <v>#DIV/0!</v>
      </c>
      <c r="P101" s="305" t="e">
        <f t="shared" si="73"/>
        <v>#DIV/0!</v>
      </c>
      <c r="Q101" s="306"/>
      <c r="R101" s="304"/>
      <c r="S101" s="355"/>
      <c r="T101" s="355"/>
      <c r="U101" s="305" t="e">
        <f t="shared" si="74"/>
        <v>#DIV/0!</v>
      </c>
      <c r="V101" s="305" t="e">
        <f t="shared" si="75"/>
        <v>#DIV/0!</v>
      </c>
      <c r="W101" s="307"/>
      <c r="X101" s="304"/>
      <c r="Y101" s="355"/>
      <c r="Z101" s="355"/>
      <c r="AA101" s="305" t="e">
        <f t="shared" si="76"/>
        <v>#DIV/0!</v>
      </c>
      <c r="AB101" s="308" t="e">
        <f t="shared" si="77"/>
        <v>#DIV/0!</v>
      </c>
      <c r="AC101" s="286">
        <f t="shared" si="69"/>
        <v>1294.1176470588234</v>
      </c>
    </row>
    <row r="102" spans="1:29" ht="78.75" x14ac:dyDescent="0.25">
      <c r="A102" s="296">
        <v>9</v>
      </c>
      <c r="B102" s="360" t="s">
        <v>153</v>
      </c>
      <c r="C102" s="304">
        <f t="shared" si="66"/>
        <v>128</v>
      </c>
      <c r="D102" s="304">
        <f t="shared" si="67"/>
        <v>153600</v>
      </c>
      <c r="E102" s="304">
        <f t="shared" si="78"/>
        <v>46</v>
      </c>
      <c r="F102" s="304">
        <f t="shared" si="68"/>
        <v>60720</v>
      </c>
      <c r="G102" s="305">
        <f t="shared" si="70"/>
        <v>0.359375</v>
      </c>
      <c r="H102" s="305">
        <f t="shared" si="71"/>
        <v>0.39531250000000001</v>
      </c>
      <c r="I102" s="386" t="s">
        <v>594</v>
      </c>
      <c r="J102" s="387">
        <v>11220</v>
      </c>
      <c r="K102" s="306">
        <v>68</v>
      </c>
      <c r="L102" s="304">
        <v>81600</v>
      </c>
      <c r="M102" s="355">
        <v>37</v>
      </c>
      <c r="N102" s="355">
        <v>48840</v>
      </c>
      <c r="O102" s="305">
        <f t="shared" si="72"/>
        <v>0.54411764705882348</v>
      </c>
      <c r="P102" s="305">
        <f t="shared" si="73"/>
        <v>0.59852941176470587</v>
      </c>
      <c r="Q102" s="306">
        <v>36</v>
      </c>
      <c r="R102" s="304">
        <v>43200</v>
      </c>
      <c r="S102" s="355">
        <v>7</v>
      </c>
      <c r="T102" s="355">
        <v>9240</v>
      </c>
      <c r="U102" s="305">
        <f t="shared" si="74"/>
        <v>0.19444444444444445</v>
      </c>
      <c r="V102" s="305">
        <f t="shared" si="75"/>
        <v>0.21388888888888888</v>
      </c>
      <c r="W102" s="307">
        <v>24</v>
      </c>
      <c r="X102" s="304">
        <v>28800</v>
      </c>
      <c r="Y102" s="355">
        <v>2</v>
      </c>
      <c r="Z102" s="355">
        <v>2640</v>
      </c>
      <c r="AA102" s="305">
        <f t="shared" si="76"/>
        <v>8.3333333333333329E-2</v>
      </c>
      <c r="AB102" s="308">
        <f t="shared" si="77"/>
        <v>9.166666666666666E-2</v>
      </c>
      <c r="AC102" s="286">
        <f t="shared" si="69"/>
        <v>1320</v>
      </c>
    </row>
    <row r="103" spans="1:29" ht="31.5" x14ac:dyDescent="0.25">
      <c r="A103" s="296">
        <v>10</v>
      </c>
      <c r="B103" s="360" t="s">
        <v>154</v>
      </c>
      <c r="C103" s="304">
        <f t="shared" si="66"/>
        <v>89</v>
      </c>
      <c r="D103" s="304">
        <f t="shared" si="67"/>
        <v>106800</v>
      </c>
      <c r="E103" s="304">
        <f t="shared" si="78"/>
        <v>34</v>
      </c>
      <c r="F103" s="304">
        <f t="shared" si="68"/>
        <v>44880</v>
      </c>
      <c r="G103" s="305">
        <f t="shared" si="70"/>
        <v>0.38202247191011235</v>
      </c>
      <c r="H103" s="305">
        <f t="shared" si="71"/>
        <v>0.42022471910112358</v>
      </c>
      <c r="I103" s="386" t="s">
        <v>595</v>
      </c>
      <c r="J103" s="387">
        <v>1100</v>
      </c>
      <c r="K103" s="306">
        <v>36</v>
      </c>
      <c r="L103" s="304">
        <v>43200</v>
      </c>
      <c r="M103" s="355">
        <v>12</v>
      </c>
      <c r="N103" s="355">
        <v>15840</v>
      </c>
      <c r="O103" s="305">
        <f t="shared" si="72"/>
        <v>0.33333333333333331</v>
      </c>
      <c r="P103" s="305">
        <f t="shared" si="73"/>
        <v>0.36666666666666664</v>
      </c>
      <c r="Q103" s="306">
        <v>28</v>
      </c>
      <c r="R103" s="304">
        <v>33600</v>
      </c>
      <c r="S103" s="355">
        <v>12</v>
      </c>
      <c r="T103" s="355">
        <v>15840</v>
      </c>
      <c r="U103" s="305">
        <f t="shared" si="74"/>
        <v>0.42857142857142855</v>
      </c>
      <c r="V103" s="305">
        <f t="shared" si="75"/>
        <v>0.47142857142857142</v>
      </c>
      <c r="W103" s="307">
        <v>25</v>
      </c>
      <c r="X103" s="304">
        <v>30000</v>
      </c>
      <c r="Y103" s="355">
        <v>10</v>
      </c>
      <c r="Z103" s="355">
        <v>13200</v>
      </c>
      <c r="AA103" s="305">
        <f t="shared" si="76"/>
        <v>0.4</v>
      </c>
      <c r="AB103" s="308">
        <f t="shared" si="77"/>
        <v>0.44</v>
      </c>
      <c r="AC103" s="286">
        <f t="shared" si="69"/>
        <v>1320</v>
      </c>
    </row>
    <row r="104" spans="1:29" ht="15.75" x14ac:dyDescent="0.25">
      <c r="A104" s="296">
        <v>11</v>
      </c>
      <c r="B104" s="360" t="s">
        <v>15</v>
      </c>
      <c r="C104" s="304">
        <f t="shared" si="66"/>
        <v>110</v>
      </c>
      <c r="D104" s="304">
        <f t="shared" si="67"/>
        <v>132000</v>
      </c>
      <c r="E104" s="304">
        <f t="shared" si="78"/>
        <v>63</v>
      </c>
      <c r="F104" s="304">
        <f t="shared" si="68"/>
        <v>75600</v>
      </c>
      <c r="G104" s="305">
        <f t="shared" si="70"/>
        <v>0.57272727272727275</v>
      </c>
      <c r="H104" s="305">
        <f t="shared" si="71"/>
        <v>0.57272727272727275</v>
      </c>
      <c r="I104" s="386" t="s">
        <v>596</v>
      </c>
      <c r="J104" s="450">
        <v>750</v>
      </c>
      <c r="K104" s="306">
        <v>50</v>
      </c>
      <c r="L104" s="304">
        <v>60000</v>
      </c>
      <c r="M104" s="355">
        <v>32</v>
      </c>
      <c r="N104" s="355">
        <v>38400</v>
      </c>
      <c r="O104" s="305">
        <f t="shared" si="72"/>
        <v>0.64</v>
      </c>
      <c r="P104" s="305">
        <f t="shared" si="73"/>
        <v>0.64</v>
      </c>
      <c r="Q104" s="306">
        <v>30</v>
      </c>
      <c r="R104" s="304">
        <v>36000</v>
      </c>
      <c r="S104" s="355"/>
      <c r="T104" s="355"/>
      <c r="U104" s="305">
        <f t="shared" si="74"/>
        <v>0</v>
      </c>
      <c r="V104" s="305">
        <f t="shared" si="75"/>
        <v>0</v>
      </c>
      <c r="W104" s="307">
        <v>30</v>
      </c>
      <c r="X104" s="304">
        <v>36000</v>
      </c>
      <c r="Y104" s="355">
        <v>31</v>
      </c>
      <c r="Z104" s="355">
        <v>37200</v>
      </c>
      <c r="AA104" s="305">
        <f t="shared" si="76"/>
        <v>1.0333333333333334</v>
      </c>
      <c r="AB104" s="308">
        <f t="shared" si="77"/>
        <v>1.0333333333333334</v>
      </c>
      <c r="AC104" s="286">
        <f t="shared" si="69"/>
        <v>1200</v>
      </c>
    </row>
    <row r="105" spans="1:29" ht="15.75" x14ac:dyDescent="0.25">
      <c r="A105" s="296">
        <v>12</v>
      </c>
      <c r="B105" s="360" t="s">
        <v>155</v>
      </c>
      <c r="C105" s="304">
        <f t="shared" si="66"/>
        <v>0</v>
      </c>
      <c r="D105" s="304">
        <f t="shared" si="67"/>
        <v>0</v>
      </c>
      <c r="E105" s="304">
        <f t="shared" si="78"/>
        <v>50</v>
      </c>
      <c r="F105" s="304">
        <f t="shared" si="68"/>
        <v>66000</v>
      </c>
      <c r="G105" s="305" t="e">
        <f t="shared" si="70"/>
        <v>#DIV/0!</v>
      </c>
      <c r="H105" s="305" t="e">
        <f t="shared" si="71"/>
        <v>#DIV/0!</v>
      </c>
      <c r="I105" s="386" t="s">
        <v>560</v>
      </c>
      <c r="J105" s="450">
        <v>1900</v>
      </c>
      <c r="K105" s="306"/>
      <c r="L105" s="304"/>
      <c r="M105" s="355">
        <v>23</v>
      </c>
      <c r="N105" s="355">
        <v>30360</v>
      </c>
      <c r="O105" s="305" t="e">
        <f t="shared" si="72"/>
        <v>#DIV/0!</v>
      </c>
      <c r="P105" s="305" t="e">
        <f t="shared" si="73"/>
        <v>#DIV/0!</v>
      </c>
      <c r="Q105" s="306"/>
      <c r="R105" s="304"/>
      <c r="S105" s="355"/>
      <c r="T105" s="355"/>
      <c r="U105" s="305" t="e">
        <f t="shared" si="74"/>
        <v>#DIV/0!</v>
      </c>
      <c r="V105" s="305" t="e">
        <f t="shared" si="75"/>
        <v>#DIV/0!</v>
      </c>
      <c r="W105" s="307"/>
      <c r="X105" s="304"/>
      <c r="Y105" s="355">
        <v>27</v>
      </c>
      <c r="Z105" s="355">
        <v>35640</v>
      </c>
      <c r="AA105" s="305" t="e">
        <f t="shared" si="76"/>
        <v>#DIV/0!</v>
      </c>
      <c r="AB105" s="308" t="e">
        <f t="shared" si="77"/>
        <v>#DIV/0!</v>
      </c>
      <c r="AC105" s="286">
        <f t="shared" si="69"/>
        <v>1320</v>
      </c>
    </row>
    <row r="106" spans="1:29" ht="15.75" x14ac:dyDescent="0.25">
      <c r="A106" s="296">
        <v>13</v>
      </c>
      <c r="B106" s="359" t="s">
        <v>17</v>
      </c>
      <c r="C106" s="304">
        <f t="shared" si="66"/>
        <v>116</v>
      </c>
      <c r="D106" s="304">
        <f t="shared" si="67"/>
        <v>139200</v>
      </c>
      <c r="E106" s="304">
        <f t="shared" si="78"/>
        <v>0</v>
      </c>
      <c r="F106" s="304">
        <f t="shared" si="68"/>
        <v>0</v>
      </c>
      <c r="G106" s="305">
        <f t="shared" si="70"/>
        <v>0</v>
      </c>
      <c r="H106" s="305">
        <f t="shared" si="71"/>
        <v>0</v>
      </c>
      <c r="I106" s="386"/>
      <c r="J106" s="387"/>
      <c r="K106" s="306">
        <v>50</v>
      </c>
      <c r="L106" s="304">
        <v>60000</v>
      </c>
      <c r="M106" s="355"/>
      <c r="N106" s="355"/>
      <c r="O106" s="305">
        <f t="shared" si="72"/>
        <v>0</v>
      </c>
      <c r="P106" s="305">
        <f t="shared" si="73"/>
        <v>0</v>
      </c>
      <c r="Q106" s="306">
        <v>35</v>
      </c>
      <c r="R106" s="304">
        <v>42000</v>
      </c>
      <c r="S106" s="355"/>
      <c r="T106" s="355"/>
      <c r="U106" s="305">
        <f t="shared" si="74"/>
        <v>0</v>
      </c>
      <c r="V106" s="305">
        <f t="shared" si="75"/>
        <v>0</v>
      </c>
      <c r="W106" s="307">
        <v>31</v>
      </c>
      <c r="X106" s="304">
        <v>37200</v>
      </c>
      <c r="Y106" s="355"/>
      <c r="Z106" s="355"/>
      <c r="AA106" s="305">
        <f t="shared" si="76"/>
        <v>0</v>
      </c>
      <c r="AB106" s="308">
        <f t="shared" si="77"/>
        <v>0</v>
      </c>
      <c r="AC106" s="286" t="e">
        <f t="shared" si="69"/>
        <v>#DIV/0!</v>
      </c>
    </row>
    <row r="107" spans="1:29" ht="16.5" thickBot="1" x14ac:dyDescent="0.3">
      <c r="A107" s="402">
        <v>14</v>
      </c>
      <c r="B107" s="362" t="s">
        <v>18</v>
      </c>
      <c r="C107" s="309">
        <f t="shared" si="66"/>
        <v>201</v>
      </c>
      <c r="D107" s="309">
        <f t="shared" si="67"/>
        <v>241200</v>
      </c>
      <c r="E107" s="309">
        <f t="shared" si="78"/>
        <v>572</v>
      </c>
      <c r="F107" s="309">
        <f t="shared" si="68"/>
        <v>377520</v>
      </c>
      <c r="G107" s="310">
        <f t="shared" si="70"/>
        <v>2.8457711442786069</v>
      </c>
      <c r="H107" s="310">
        <f t="shared" si="71"/>
        <v>1.5651741293532337</v>
      </c>
      <c r="I107" s="388"/>
      <c r="J107" s="389"/>
      <c r="K107" s="311">
        <v>106</v>
      </c>
      <c r="L107" s="309">
        <v>127200</v>
      </c>
      <c r="M107" s="356">
        <v>241</v>
      </c>
      <c r="N107" s="356">
        <v>159060</v>
      </c>
      <c r="O107" s="310">
        <f t="shared" si="72"/>
        <v>2.2735849056603774</v>
      </c>
      <c r="P107" s="310">
        <f t="shared" si="73"/>
        <v>1.2504716981132076</v>
      </c>
      <c r="Q107" s="311">
        <v>54</v>
      </c>
      <c r="R107" s="309">
        <v>64800</v>
      </c>
      <c r="S107" s="356">
        <v>219</v>
      </c>
      <c r="T107" s="356">
        <v>144540</v>
      </c>
      <c r="U107" s="310">
        <f t="shared" si="74"/>
        <v>4.0555555555555554</v>
      </c>
      <c r="V107" s="310">
        <f t="shared" si="75"/>
        <v>2.2305555555555556</v>
      </c>
      <c r="W107" s="312">
        <v>41</v>
      </c>
      <c r="X107" s="309">
        <v>49200</v>
      </c>
      <c r="Y107" s="356">
        <v>112</v>
      </c>
      <c r="Z107" s="356">
        <v>73920</v>
      </c>
      <c r="AA107" s="310">
        <f t="shared" si="76"/>
        <v>2.7317073170731709</v>
      </c>
      <c r="AB107" s="313">
        <f t="shared" si="77"/>
        <v>1.5024390243902439</v>
      </c>
      <c r="AC107" s="286">
        <f t="shared" si="69"/>
        <v>660</v>
      </c>
    </row>
    <row r="109" spans="1:29" ht="19.5" thickBot="1" x14ac:dyDescent="0.35">
      <c r="B109" s="376" t="s">
        <v>597</v>
      </c>
    </row>
    <row r="110" spans="1:29" ht="16.5" customHeight="1" thickBot="1" x14ac:dyDescent="0.3">
      <c r="A110" s="664" t="s">
        <v>0</v>
      </c>
      <c r="B110" s="667" t="s">
        <v>195</v>
      </c>
      <c r="C110" s="670" t="s">
        <v>196</v>
      </c>
      <c r="D110" s="671"/>
      <c r="E110" s="671"/>
      <c r="F110" s="671"/>
      <c r="G110" s="671"/>
      <c r="H110" s="672"/>
      <c r="I110" s="673" t="s">
        <v>557</v>
      </c>
      <c r="J110" s="674"/>
      <c r="K110" s="679" t="s">
        <v>197</v>
      </c>
      <c r="L110" s="680"/>
      <c r="M110" s="680"/>
      <c r="N110" s="680"/>
      <c r="O110" s="680"/>
      <c r="P110" s="680"/>
      <c r="Q110" s="680"/>
      <c r="R110" s="680"/>
      <c r="S110" s="680"/>
      <c r="T110" s="680"/>
      <c r="U110" s="680"/>
      <c r="V110" s="680"/>
      <c r="W110" s="680"/>
      <c r="X110" s="680"/>
      <c r="Y110" s="680"/>
      <c r="Z110" s="680"/>
      <c r="AA110" s="680"/>
      <c r="AB110" s="681"/>
    </row>
    <row r="111" spans="1:29" ht="15.75" customHeight="1" x14ac:dyDescent="0.25">
      <c r="A111" s="665"/>
      <c r="B111" s="668"/>
      <c r="C111" s="682" t="s">
        <v>143</v>
      </c>
      <c r="D111" s="683"/>
      <c r="E111" s="686" t="s">
        <v>198</v>
      </c>
      <c r="F111" s="683"/>
      <c r="G111" s="686" t="s">
        <v>199</v>
      </c>
      <c r="H111" s="688"/>
      <c r="I111" s="675"/>
      <c r="J111" s="676"/>
      <c r="K111" s="690" t="s">
        <v>200</v>
      </c>
      <c r="L111" s="691"/>
      <c r="M111" s="691"/>
      <c r="N111" s="691"/>
      <c r="O111" s="691"/>
      <c r="P111" s="692"/>
      <c r="Q111" s="690" t="s">
        <v>201</v>
      </c>
      <c r="R111" s="691"/>
      <c r="S111" s="691"/>
      <c r="T111" s="691"/>
      <c r="U111" s="691"/>
      <c r="V111" s="692"/>
      <c r="W111" s="690" t="s">
        <v>202</v>
      </c>
      <c r="X111" s="691"/>
      <c r="Y111" s="691"/>
      <c r="Z111" s="691"/>
      <c r="AA111" s="691"/>
      <c r="AB111" s="692"/>
    </row>
    <row r="112" spans="1:29" ht="15.75" x14ac:dyDescent="0.25">
      <c r="A112" s="665"/>
      <c r="B112" s="668"/>
      <c r="C112" s="684"/>
      <c r="D112" s="685"/>
      <c r="E112" s="687"/>
      <c r="F112" s="685"/>
      <c r="G112" s="687"/>
      <c r="H112" s="689"/>
      <c r="I112" s="677"/>
      <c r="J112" s="678"/>
      <c r="K112" s="693" t="s">
        <v>143</v>
      </c>
      <c r="L112" s="694"/>
      <c r="M112" s="695" t="s">
        <v>198</v>
      </c>
      <c r="N112" s="694"/>
      <c r="O112" s="695" t="s">
        <v>199</v>
      </c>
      <c r="P112" s="696"/>
      <c r="Q112" s="693" t="s">
        <v>143</v>
      </c>
      <c r="R112" s="694"/>
      <c r="S112" s="695" t="s">
        <v>198</v>
      </c>
      <c r="T112" s="694"/>
      <c r="U112" s="695" t="s">
        <v>199</v>
      </c>
      <c r="V112" s="696"/>
      <c r="W112" s="693" t="s">
        <v>143</v>
      </c>
      <c r="X112" s="694"/>
      <c r="Y112" s="695" t="s">
        <v>198</v>
      </c>
      <c r="Z112" s="694"/>
      <c r="AA112" s="695" t="s">
        <v>199</v>
      </c>
      <c r="AB112" s="696"/>
    </row>
    <row r="113" spans="1:28" ht="16.5" thickBot="1" x14ac:dyDescent="0.3">
      <c r="A113" s="666"/>
      <c r="B113" s="669"/>
      <c r="C113" s="505" t="s">
        <v>203</v>
      </c>
      <c r="D113" s="290" t="s">
        <v>204</v>
      </c>
      <c r="E113" s="290" t="s">
        <v>203</v>
      </c>
      <c r="F113" s="290" t="s">
        <v>204</v>
      </c>
      <c r="G113" s="290" t="s">
        <v>203</v>
      </c>
      <c r="H113" s="290" t="s">
        <v>204</v>
      </c>
      <c r="I113" s="505" t="s">
        <v>558</v>
      </c>
      <c r="J113" s="507" t="s">
        <v>204</v>
      </c>
      <c r="K113" s="505" t="s">
        <v>203</v>
      </c>
      <c r="L113" s="290" t="s">
        <v>204</v>
      </c>
      <c r="M113" s="290" t="s">
        <v>203</v>
      </c>
      <c r="N113" s="290" t="s">
        <v>204</v>
      </c>
      <c r="O113" s="290" t="s">
        <v>203</v>
      </c>
      <c r="P113" s="290" t="s">
        <v>204</v>
      </c>
      <c r="Q113" s="505" t="s">
        <v>203</v>
      </c>
      <c r="R113" s="290" t="s">
        <v>204</v>
      </c>
      <c r="S113" s="290" t="s">
        <v>203</v>
      </c>
      <c r="T113" s="290" t="s">
        <v>204</v>
      </c>
      <c r="U113" s="290" t="s">
        <v>203</v>
      </c>
      <c r="V113" s="290" t="s">
        <v>204</v>
      </c>
      <c r="W113" s="505" t="s">
        <v>203</v>
      </c>
      <c r="X113" s="290" t="s">
        <v>204</v>
      </c>
      <c r="Y113" s="290" t="s">
        <v>203</v>
      </c>
      <c r="Z113" s="290" t="s">
        <v>204</v>
      </c>
      <c r="AA113" s="290" t="s">
        <v>203</v>
      </c>
      <c r="AB113" s="507" t="s">
        <v>204</v>
      </c>
    </row>
    <row r="114" spans="1:28" ht="16.5" customHeight="1" thickBot="1" x14ac:dyDescent="0.3">
      <c r="A114" s="662" t="s">
        <v>163</v>
      </c>
      <c r="B114" s="663"/>
      <c r="C114" s="291">
        <f t="shared" ref="C114:I114" si="79">SUM(C116:C128)</f>
        <v>2352</v>
      </c>
      <c r="D114" s="292">
        <f t="shared" si="79"/>
        <v>2822400</v>
      </c>
      <c r="E114" s="292">
        <f t="shared" si="79"/>
        <v>1025</v>
      </c>
      <c r="F114" s="292">
        <f t="shared" si="79"/>
        <v>910592.61</v>
      </c>
      <c r="G114" s="292" t="e">
        <f t="shared" si="79"/>
        <v>#DIV/0!</v>
      </c>
      <c r="H114" s="292" t="e">
        <f t="shared" si="79"/>
        <v>#DIV/0!</v>
      </c>
      <c r="I114" s="291">
        <f t="shared" si="79"/>
        <v>0</v>
      </c>
      <c r="J114" s="383">
        <f t="shared" ref="J114:AB114" si="80">SUM(J116:J128)</f>
        <v>36562.400000000001</v>
      </c>
      <c r="K114" s="291">
        <f t="shared" si="80"/>
        <v>658</v>
      </c>
      <c r="L114" s="292">
        <f t="shared" si="80"/>
        <v>789600</v>
      </c>
      <c r="M114" s="292">
        <f t="shared" si="80"/>
        <v>295</v>
      </c>
      <c r="N114" s="292">
        <f t="shared" si="80"/>
        <v>283180.90000000002</v>
      </c>
      <c r="O114" s="292" t="e">
        <f t="shared" si="80"/>
        <v>#DIV/0!</v>
      </c>
      <c r="P114" s="293" t="e">
        <f t="shared" si="80"/>
        <v>#DIV/0!</v>
      </c>
      <c r="Q114" s="291">
        <f t="shared" si="80"/>
        <v>1152</v>
      </c>
      <c r="R114" s="292">
        <f t="shared" si="80"/>
        <v>1382400</v>
      </c>
      <c r="S114" s="292">
        <f t="shared" si="80"/>
        <v>491</v>
      </c>
      <c r="T114" s="292">
        <f t="shared" si="80"/>
        <v>406941.7</v>
      </c>
      <c r="U114" s="292" t="e">
        <f t="shared" si="80"/>
        <v>#DIV/0!</v>
      </c>
      <c r="V114" s="293" t="e">
        <f t="shared" si="80"/>
        <v>#DIV/0!</v>
      </c>
      <c r="W114" s="291">
        <f t="shared" si="80"/>
        <v>542</v>
      </c>
      <c r="X114" s="292">
        <f t="shared" si="80"/>
        <v>650400</v>
      </c>
      <c r="Y114" s="292">
        <f t="shared" si="80"/>
        <v>239</v>
      </c>
      <c r="Z114" s="292">
        <f t="shared" si="80"/>
        <v>220470.01</v>
      </c>
      <c r="AA114" s="292" t="e">
        <f t="shared" si="80"/>
        <v>#DIV/0!</v>
      </c>
      <c r="AB114" s="293" t="e">
        <f t="shared" si="80"/>
        <v>#DIV/0!</v>
      </c>
    </row>
    <row r="115" spans="1:28" ht="15.75" x14ac:dyDescent="0.25">
      <c r="A115" s="296">
        <v>1</v>
      </c>
      <c r="B115" s="538" t="s">
        <v>127</v>
      </c>
      <c r="C115" s="297"/>
      <c r="D115" s="297"/>
      <c r="E115" s="297"/>
      <c r="F115" s="297"/>
      <c r="G115" s="298"/>
      <c r="H115" s="298"/>
      <c r="I115" s="384"/>
      <c r="J115" s="385"/>
      <c r="K115" s="539"/>
      <c r="L115" s="297"/>
      <c r="M115" s="354"/>
      <c r="N115" s="354"/>
      <c r="O115" s="298"/>
      <c r="P115" s="298"/>
      <c r="Q115" s="539"/>
      <c r="R115" s="297"/>
      <c r="S115" s="354"/>
      <c r="T115" s="354"/>
      <c r="U115" s="298"/>
      <c r="V115" s="298"/>
      <c r="W115" s="300"/>
      <c r="X115" s="297"/>
      <c r="Y115" s="354"/>
      <c r="Z115" s="354"/>
      <c r="AA115" s="298"/>
      <c r="AB115" s="301"/>
    </row>
    <row r="116" spans="1:28" ht="15.75" x14ac:dyDescent="0.25">
      <c r="A116" s="296">
        <v>2</v>
      </c>
      <c r="B116" s="538" t="s">
        <v>205</v>
      </c>
      <c r="C116" s="297">
        <f t="shared" ref="C116:E128" si="81">+K116+Q116+W116</f>
        <v>659</v>
      </c>
      <c r="D116" s="297">
        <f t="shared" si="81"/>
        <v>790800</v>
      </c>
      <c r="E116" s="297">
        <f>+M116+S116+Y116</f>
        <v>272</v>
      </c>
      <c r="F116" s="297">
        <f t="shared" ref="F116:F128" si="82">+N116+T116+Z116</f>
        <v>179520</v>
      </c>
      <c r="G116" s="298">
        <f>+E116/C116</f>
        <v>0.41274658573596357</v>
      </c>
      <c r="H116" s="298">
        <f>+F116/D116</f>
        <v>0.22701062215477996</v>
      </c>
      <c r="I116" s="384"/>
      <c r="J116" s="385"/>
      <c r="K116" s="539"/>
      <c r="L116" s="297"/>
      <c r="M116" s="354"/>
      <c r="N116" s="354"/>
      <c r="O116" s="298" t="e">
        <f>+M116/K116</f>
        <v>#DIV/0!</v>
      </c>
      <c r="P116" s="298" t="e">
        <f>+N116/L116</f>
        <v>#DIV/0!</v>
      </c>
      <c r="Q116" s="539">
        <v>659</v>
      </c>
      <c r="R116" s="297">
        <v>790800</v>
      </c>
      <c r="S116" s="354">
        <v>272</v>
      </c>
      <c r="T116" s="354">
        <v>179520</v>
      </c>
      <c r="U116" s="298">
        <f>+S116/Q116</f>
        <v>0.41274658573596357</v>
      </c>
      <c r="V116" s="298">
        <f>+T116/R116</f>
        <v>0.22701062215477996</v>
      </c>
      <c r="W116" s="300"/>
      <c r="X116" s="297"/>
      <c r="Y116" s="354"/>
      <c r="Z116" s="354"/>
      <c r="AA116" s="298" t="e">
        <f>+Y116/W116</f>
        <v>#DIV/0!</v>
      </c>
      <c r="AB116" s="301" t="e">
        <f>+Z116/X116</f>
        <v>#DIV/0!</v>
      </c>
    </row>
    <row r="117" spans="1:28" ht="15.75" x14ac:dyDescent="0.25">
      <c r="A117" s="296">
        <v>3</v>
      </c>
      <c r="B117" s="540" t="s">
        <v>147</v>
      </c>
      <c r="C117" s="304">
        <f t="shared" si="81"/>
        <v>0</v>
      </c>
      <c r="D117" s="304">
        <f t="shared" si="81"/>
        <v>0</v>
      </c>
      <c r="E117" s="304">
        <f>+M117+S117+Y117</f>
        <v>126</v>
      </c>
      <c r="F117" s="304">
        <f t="shared" si="82"/>
        <v>166320</v>
      </c>
      <c r="G117" s="305" t="e">
        <f t="shared" ref="G117:H128" si="83">+E117/C117</f>
        <v>#DIV/0!</v>
      </c>
      <c r="H117" s="305" t="e">
        <f t="shared" si="83"/>
        <v>#DIV/0!</v>
      </c>
      <c r="I117" s="386"/>
      <c r="J117" s="387"/>
      <c r="K117" s="541"/>
      <c r="L117" s="304"/>
      <c r="M117" s="355">
        <v>59</v>
      </c>
      <c r="N117" s="355">
        <v>77880</v>
      </c>
      <c r="O117" s="305" t="e">
        <f t="shared" ref="O117:P128" si="84">+M117/K117</f>
        <v>#DIV/0!</v>
      </c>
      <c r="P117" s="305" t="e">
        <f t="shared" si="84"/>
        <v>#DIV/0!</v>
      </c>
      <c r="Q117" s="541"/>
      <c r="R117" s="304"/>
      <c r="S117" s="355">
        <v>52</v>
      </c>
      <c r="T117" s="355">
        <v>68640</v>
      </c>
      <c r="U117" s="305" t="e">
        <f t="shared" ref="U117:V128" si="85">+S117/Q117</f>
        <v>#DIV/0!</v>
      </c>
      <c r="V117" s="305" t="e">
        <f t="shared" si="85"/>
        <v>#DIV/0!</v>
      </c>
      <c r="W117" s="307"/>
      <c r="X117" s="304"/>
      <c r="Y117" s="355">
        <v>15</v>
      </c>
      <c r="Z117" s="355">
        <v>19800</v>
      </c>
      <c r="AA117" s="305" t="e">
        <f t="shared" ref="AA117:AB128" si="86">+Y117/W117</f>
        <v>#DIV/0!</v>
      </c>
      <c r="AB117" s="308" t="e">
        <f t="shared" si="86"/>
        <v>#DIV/0!</v>
      </c>
    </row>
    <row r="118" spans="1:28" ht="15.75" x14ac:dyDescent="0.25">
      <c r="A118" s="296">
        <v>4</v>
      </c>
      <c r="B118" s="540" t="s">
        <v>148</v>
      </c>
      <c r="C118" s="304">
        <f t="shared" si="81"/>
        <v>142</v>
      </c>
      <c r="D118" s="304">
        <f t="shared" si="81"/>
        <v>170400</v>
      </c>
      <c r="E118" s="304">
        <f>+M118+S118+Y118</f>
        <v>0</v>
      </c>
      <c r="F118" s="304">
        <f t="shared" si="82"/>
        <v>0</v>
      </c>
      <c r="G118" s="305">
        <f t="shared" si="83"/>
        <v>0</v>
      </c>
      <c r="H118" s="305">
        <f t="shared" si="83"/>
        <v>0</v>
      </c>
      <c r="I118" s="386"/>
      <c r="J118" s="387"/>
      <c r="K118" s="541"/>
      <c r="L118" s="304"/>
      <c r="M118" s="355"/>
      <c r="N118" s="355"/>
      <c r="O118" s="305" t="e">
        <f t="shared" si="84"/>
        <v>#DIV/0!</v>
      </c>
      <c r="P118" s="305" t="e">
        <f t="shared" si="84"/>
        <v>#DIV/0!</v>
      </c>
      <c r="Q118" s="541"/>
      <c r="R118" s="304"/>
      <c r="S118" s="355"/>
      <c r="T118" s="355"/>
      <c r="U118" s="305" t="e">
        <f t="shared" si="85"/>
        <v>#DIV/0!</v>
      </c>
      <c r="V118" s="305" t="e">
        <f t="shared" si="85"/>
        <v>#DIV/0!</v>
      </c>
      <c r="W118" s="307">
        <v>142</v>
      </c>
      <c r="X118" s="304">
        <v>170400</v>
      </c>
      <c r="Y118" s="355"/>
      <c r="Z118" s="355"/>
      <c r="AA118" s="305">
        <f t="shared" si="86"/>
        <v>0</v>
      </c>
      <c r="AB118" s="308">
        <f t="shared" si="86"/>
        <v>0</v>
      </c>
    </row>
    <row r="119" spans="1:28" ht="31.5" x14ac:dyDescent="0.25">
      <c r="A119" s="296">
        <v>5</v>
      </c>
      <c r="B119" s="360" t="s">
        <v>206</v>
      </c>
      <c r="C119" s="304">
        <f t="shared" si="81"/>
        <v>199</v>
      </c>
      <c r="D119" s="304">
        <f t="shared" si="81"/>
        <v>238800</v>
      </c>
      <c r="E119" s="304">
        <f>+M119+S119+Y119</f>
        <v>60</v>
      </c>
      <c r="F119" s="304">
        <f t="shared" si="82"/>
        <v>76560</v>
      </c>
      <c r="G119" s="305">
        <f t="shared" si="83"/>
        <v>0.30150753768844218</v>
      </c>
      <c r="H119" s="305">
        <f t="shared" si="83"/>
        <v>0.32060301507537686</v>
      </c>
      <c r="I119" s="386" t="s">
        <v>610</v>
      </c>
      <c r="J119" s="450">
        <v>2096.4</v>
      </c>
      <c r="K119" s="541">
        <v>80</v>
      </c>
      <c r="L119" s="304">
        <v>96000</v>
      </c>
      <c r="M119" s="355"/>
      <c r="N119" s="355"/>
      <c r="O119" s="305">
        <f t="shared" si="84"/>
        <v>0</v>
      </c>
      <c r="P119" s="305">
        <f t="shared" si="84"/>
        <v>0</v>
      </c>
      <c r="Q119" s="541">
        <v>70</v>
      </c>
      <c r="R119" s="304">
        <v>84000</v>
      </c>
      <c r="S119" s="355">
        <v>4</v>
      </c>
      <c r="T119" s="355">
        <v>2640</v>
      </c>
      <c r="U119" s="305">
        <f t="shared" si="85"/>
        <v>5.7142857142857141E-2</v>
      </c>
      <c r="V119" s="305">
        <f t="shared" si="85"/>
        <v>3.1428571428571431E-2</v>
      </c>
      <c r="W119" s="307">
        <v>49</v>
      </c>
      <c r="X119" s="304">
        <v>58800</v>
      </c>
      <c r="Y119" s="355">
        <v>56</v>
      </c>
      <c r="Z119" s="355">
        <v>73920</v>
      </c>
      <c r="AA119" s="305">
        <f t="shared" si="86"/>
        <v>1.1428571428571428</v>
      </c>
      <c r="AB119" s="308">
        <f t="shared" si="86"/>
        <v>1.2571428571428571</v>
      </c>
    </row>
    <row r="120" spans="1:28" ht="15.75" x14ac:dyDescent="0.25">
      <c r="A120" s="296">
        <v>6</v>
      </c>
      <c r="B120" s="540" t="s">
        <v>174</v>
      </c>
      <c r="C120" s="304">
        <f t="shared" si="81"/>
        <v>360</v>
      </c>
      <c r="D120" s="304">
        <f t="shared" si="81"/>
        <v>432000</v>
      </c>
      <c r="E120" s="304">
        <f>+M120+S120+Y120</f>
        <v>120</v>
      </c>
      <c r="F120" s="304">
        <f t="shared" si="82"/>
        <v>158400</v>
      </c>
      <c r="G120" s="305">
        <f t="shared" si="83"/>
        <v>0.33333333333333331</v>
      </c>
      <c r="H120" s="305">
        <f t="shared" si="83"/>
        <v>0.36666666666666664</v>
      </c>
      <c r="I120" s="386"/>
      <c r="J120" s="387"/>
      <c r="K120" s="541">
        <v>120</v>
      </c>
      <c r="L120" s="304">
        <v>144000</v>
      </c>
      <c r="M120" s="355">
        <v>49</v>
      </c>
      <c r="N120" s="355">
        <v>64680</v>
      </c>
      <c r="O120" s="305">
        <f t="shared" si="84"/>
        <v>0.40833333333333333</v>
      </c>
      <c r="P120" s="305">
        <f t="shared" si="84"/>
        <v>0.44916666666666666</v>
      </c>
      <c r="Q120" s="541">
        <v>120</v>
      </c>
      <c r="R120" s="304">
        <v>144000</v>
      </c>
      <c r="S120" s="355">
        <v>44</v>
      </c>
      <c r="T120" s="355">
        <v>58080</v>
      </c>
      <c r="U120" s="305">
        <f t="shared" si="85"/>
        <v>0.36666666666666664</v>
      </c>
      <c r="V120" s="305">
        <f t="shared" si="85"/>
        <v>0.40333333333333332</v>
      </c>
      <c r="W120" s="307">
        <v>120</v>
      </c>
      <c r="X120" s="304">
        <v>144000</v>
      </c>
      <c r="Y120" s="355">
        <v>27</v>
      </c>
      <c r="Z120" s="355">
        <v>35640</v>
      </c>
      <c r="AA120" s="305">
        <f t="shared" si="86"/>
        <v>0.22500000000000001</v>
      </c>
      <c r="AB120" s="308">
        <f t="shared" si="86"/>
        <v>0.2475</v>
      </c>
    </row>
    <row r="121" spans="1:28" ht="15.75" x14ac:dyDescent="0.25">
      <c r="A121" s="296">
        <v>7</v>
      </c>
      <c r="B121" s="360" t="s">
        <v>151</v>
      </c>
      <c r="C121" s="304">
        <f t="shared" si="81"/>
        <v>348</v>
      </c>
      <c r="D121" s="304">
        <f t="shared" si="81"/>
        <v>417600</v>
      </c>
      <c r="E121" s="304">
        <f t="shared" si="81"/>
        <v>185</v>
      </c>
      <c r="F121" s="304">
        <f t="shared" si="82"/>
        <v>125100</v>
      </c>
      <c r="G121" s="305">
        <f t="shared" si="83"/>
        <v>0.5316091954022989</v>
      </c>
      <c r="H121" s="305">
        <f t="shared" si="83"/>
        <v>0.29956896551724138</v>
      </c>
      <c r="I121" s="386"/>
      <c r="J121" s="387"/>
      <c r="K121" s="541">
        <v>148</v>
      </c>
      <c r="L121" s="304">
        <v>177600</v>
      </c>
      <c r="M121" s="355">
        <v>65</v>
      </c>
      <c r="N121" s="355">
        <v>42900</v>
      </c>
      <c r="O121" s="305">
        <f t="shared" si="84"/>
        <v>0.4391891891891892</v>
      </c>
      <c r="P121" s="305">
        <f t="shared" si="84"/>
        <v>0.24155405405405406</v>
      </c>
      <c r="Q121" s="541">
        <v>120</v>
      </c>
      <c r="R121" s="304">
        <v>144000</v>
      </c>
      <c r="S121" s="355">
        <v>39</v>
      </c>
      <c r="T121" s="355">
        <v>28080</v>
      </c>
      <c r="U121" s="305">
        <f t="shared" si="85"/>
        <v>0.32500000000000001</v>
      </c>
      <c r="V121" s="305">
        <f t="shared" si="85"/>
        <v>0.19500000000000001</v>
      </c>
      <c r="W121" s="307">
        <v>80</v>
      </c>
      <c r="X121" s="304">
        <v>96000</v>
      </c>
      <c r="Y121" s="355">
        <v>81</v>
      </c>
      <c r="Z121" s="355">
        <v>54120</v>
      </c>
      <c r="AA121" s="305">
        <f t="shared" si="86"/>
        <v>1.0125</v>
      </c>
      <c r="AB121" s="308">
        <f t="shared" si="86"/>
        <v>0.56374999999999997</v>
      </c>
    </row>
    <row r="122" spans="1:28" ht="15.75" x14ac:dyDescent="0.25">
      <c r="A122" s="296">
        <v>8</v>
      </c>
      <c r="B122" s="360" t="s">
        <v>207</v>
      </c>
      <c r="C122" s="304">
        <f t="shared" si="81"/>
        <v>0</v>
      </c>
      <c r="D122" s="304">
        <f t="shared" si="81"/>
        <v>0</v>
      </c>
      <c r="E122" s="304">
        <f t="shared" si="81"/>
        <v>80</v>
      </c>
      <c r="F122" s="304">
        <f t="shared" si="82"/>
        <v>105600</v>
      </c>
      <c r="G122" s="305" t="e">
        <f t="shared" si="83"/>
        <v>#DIV/0!</v>
      </c>
      <c r="H122" s="305" t="e">
        <f t="shared" si="83"/>
        <v>#DIV/0!</v>
      </c>
      <c r="I122" s="386"/>
      <c r="J122" s="387"/>
      <c r="K122" s="541"/>
      <c r="L122" s="304"/>
      <c r="M122" s="355">
        <v>25</v>
      </c>
      <c r="N122" s="355">
        <v>33000</v>
      </c>
      <c r="O122" s="305" t="e">
        <f t="shared" si="84"/>
        <v>#DIV/0!</v>
      </c>
      <c r="P122" s="305" t="e">
        <f t="shared" si="84"/>
        <v>#DIV/0!</v>
      </c>
      <c r="Q122" s="541"/>
      <c r="R122" s="304"/>
      <c r="S122" s="355">
        <v>28</v>
      </c>
      <c r="T122" s="355">
        <v>36960</v>
      </c>
      <c r="U122" s="305" t="e">
        <f t="shared" si="85"/>
        <v>#DIV/0!</v>
      </c>
      <c r="V122" s="305" t="e">
        <f t="shared" si="85"/>
        <v>#DIV/0!</v>
      </c>
      <c r="W122" s="307"/>
      <c r="X122" s="304"/>
      <c r="Y122" s="355">
        <v>27</v>
      </c>
      <c r="Z122" s="355">
        <v>35640</v>
      </c>
      <c r="AA122" s="305" t="e">
        <f t="shared" si="86"/>
        <v>#DIV/0!</v>
      </c>
      <c r="AB122" s="308" t="e">
        <f t="shared" si="86"/>
        <v>#DIV/0!</v>
      </c>
    </row>
    <row r="123" spans="1:28" ht="31.5" x14ac:dyDescent="0.25">
      <c r="A123" s="296">
        <v>9</v>
      </c>
      <c r="B123" s="360" t="s">
        <v>153</v>
      </c>
      <c r="C123" s="304">
        <f t="shared" si="81"/>
        <v>128</v>
      </c>
      <c r="D123" s="304">
        <f t="shared" si="81"/>
        <v>153600</v>
      </c>
      <c r="E123" s="304">
        <f t="shared" si="81"/>
        <v>34</v>
      </c>
      <c r="F123" s="304">
        <f t="shared" si="82"/>
        <v>44880</v>
      </c>
      <c r="G123" s="305">
        <f t="shared" si="83"/>
        <v>0.265625</v>
      </c>
      <c r="H123" s="305">
        <f t="shared" si="83"/>
        <v>0.29218749999999999</v>
      </c>
      <c r="I123" s="386" t="s">
        <v>611</v>
      </c>
      <c r="J123" s="387">
        <v>1320</v>
      </c>
      <c r="K123" s="541">
        <v>68</v>
      </c>
      <c r="L123" s="304">
        <v>81600</v>
      </c>
      <c r="M123" s="355">
        <v>24</v>
      </c>
      <c r="N123" s="355">
        <v>31680</v>
      </c>
      <c r="O123" s="305">
        <f t="shared" si="84"/>
        <v>0.35294117647058826</v>
      </c>
      <c r="P123" s="305">
        <f t="shared" si="84"/>
        <v>0.38823529411764707</v>
      </c>
      <c r="Q123" s="541">
        <v>36</v>
      </c>
      <c r="R123" s="304">
        <v>43200</v>
      </c>
      <c r="S123" s="355">
        <v>9</v>
      </c>
      <c r="T123" s="355">
        <v>11880</v>
      </c>
      <c r="U123" s="305">
        <f t="shared" si="85"/>
        <v>0.25</v>
      </c>
      <c r="V123" s="305">
        <f t="shared" si="85"/>
        <v>0.27500000000000002</v>
      </c>
      <c r="W123" s="307">
        <v>24</v>
      </c>
      <c r="X123" s="304">
        <v>28800</v>
      </c>
      <c r="Y123" s="355">
        <v>1</v>
      </c>
      <c r="Z123" s="355">
        <v>1320</v>
      </c>
      <c r="AA123" s="305">
        <f t="shared" si="86"/>
        <v>4.1666666666666664E-2</v>
      </c>
      <c r="AB123" s="308">
        <f t="shared" si="86"/>
        <v>4.583333333333333E-2</v>
      </c>
    </row>
    <row r="124" spans="1:28" ht="63" x14ac:dyDescent="0.25">
      <c r="A124" s="296">
        <v>10</v>
      </c>
      <c r="B124" s="360" t="s">
        <v>154</v>
      </c>
      <c r="C124" s="304">
        <f t="shared" si="81"/>
        <v>89</v>
      </c>
      <c r="D124" s="304">
        <f t="shared" si="81"/>
        <v>106800</v>
      </c>
      <c r="E124" s="304">
        <f t="shared" si="81"/>
        <v>98</v>
      </c>
      <c r="F124" s="304">
        <f t="shared" si="82"/>
        <v>81.699999999999989</v>
      </c>
      <c r="G124" s="305">
        <f t="shared" si="83"/>
        <v>1.101123595505618</v>
      </c>
      <c r="H124" s="305">
        <f t="shared" si="83"/>
        <v>7.649812734082396E-4</v>
      </c>
      <c r="I124" s="386" t="s">
        <v>587</v>
      </c>
      <c r="J124" s="387">
        <v>5.9</v>
      </c>
      <c r="K124" s="541">
        <v>36</v>
      </c>
      <c r="L124" s="304">
        <v>43200</v>
      </c>
      <c r="M124" s="355">
        <v>48</v>
      </c>
      <c r="N124" s="355">
        <v>40.9</v>
      </c>
      <c r="O124" s="305">
        <f t="shared" si="84"/>
        <v>1.3333333333333333</v>
      </c>
      <c r="P124" s="305">
        <f t="shared" si="84"/>
        <v>9.4675925925925928E-4</v>
      </c>
      <c r="Q124" s="541">
        <v>28</v>
      </c>
      <c r="R124" s="304">
        <v>33600</v>
      </c>
      <c r="S124" s="355">
        <v>27</v>
      </c>
      <c r="T124" s="355">
        <v>21.7</v>
      </c>
      <c r="U124" s="305">
        <f t="shared" si="85"/>
        <v>0.9642857142857143</v>
      </c>
      <c r="V124" s="305">
        <f t="shared" si="85"/>
        <v>6.4583333333333333E-4</v>
      </c>
      <c r="W124" s="307">
        <v>25</v>
      </c>
      <c r="X124" s="304">
        <v>30000</v>
      </c>
      <c r="Y124" s="355">
        <v>23</v>
      </c>
      <c r="Z124" s="355">
        <v>19.100000000000001</v>
      </c>
      <c r="AA124" s="305">
        <f t="shared" si="86"/>
        <v>0.92</v>
      </c>
      <c r="AB124" s="308">
        <f t="shared" si="86"/>
        <v>6.3666666666666667E-4</v>
      </c>
    </row>
    <row r="125" spans="1:28" ht="15.75" x14ac:dyDescent="0.25">
      <c r="A125" s="296">
        <v>11</v>
      </c>
      <c r="B125" s="360" t="s">
        <v>15</v>
      </c>
      <c r="C125" s="304">
        <f t="shared" si="81"/>
        <v>110</v>
      </c>
      <c r="D125" s="304">
        <f t="shared" si="81"/>
        <v>132000</v>
      </c>
      <c r="E125" s="304">
        <f t="shared" si="81"/>
        <v>9</v>
      </c>
      <c r="F125" s="304">
        <f t="shared" si="82"/>
        <v>10.91</v>
      </c>
      <c r="G125" s="305">
        <f t="shared" si="83"/>
        <v>8.1818181818181818E-2</v>
      </c>
      <c r="H125" s="305">
        <f t="shared" si="83"/>
        <v>8.2651515151515147E-5</v>
      </c>
      <c r="I125" s="386" t="s">
        <v>612</v>
      </c>
      <c r="J125" s="543">
        <v>0.1</v>
      </c>
      <c r="K125" s="541">
        <v>50</v>
      </c>
      <c r="L125" s="304">
        <v>60000</v>
      </c>
      <c r="M125" s="355"/>
      <c r="N125" s="355"/>
      <c r="O125" s="305">
        <f t="shared" si="84"/>
        <v>0</v>
      </c>
      <c r="P125" s="305">
        <f t="shared" si="84"/>
        <v>0</v>
      </c>
      <c r="Q125" s="541">
        <v>30</v>
      </c>
      <c r="R125" s="304">
        <v>36000</v>
      </c>
      <c r="S125" s="355"/>
      <c r="T125" s="355"/>
      <c r="U125" s="305">
        <f t="shared" si="85"/>
        <v>0</v>
      </c>
      <c r="V125" s="305">
        <f t="shared" si="85"/>
        <v>0</v>
      </c>
      <c r="W125" s="307">
        <v>30</v>
      </c>
      <c r="X125" s="304">
        <v>36000</v>
      </c>
      <c r="Y125" s="355">
        <v>9</v>
      </c>
      <c r="Z125" s="355">
        <v>10.91</v>
      </c>
      <c r="AA125" s="305">
        <f t="shared" si="86"/>
        <v>0.3</v>
      </c>
      <c r="AB125" s="308">
        <f t="shared" si="86"/>
        <v>3.0305555555555554E-4</v>
      </c>
    </row>
    <row r="126" spans="1:28" ht="15.75" x14ac:dyDescent="0.25">
      <c r="A126" s="296">
        <v>12</v>
      </c>
      <c r="B126" s="360" t="s">
        <v>155</v>
      </c>
      <c r="C126" s="304">
        <f t="shared" si="81"/>
        <v>0</v>
      </c>
      <c r="D126" s="304">
        <f t="shared" si="81"/>
        <v>0</v>
      </c>
      <c r="E126" s="304">
        <f t="shared" si="81"/>
        <v>41</v>
      </c>
      <c r="F126" s="304">
        <f t="shared" si="82"/>
        <v>54120</v>
      </c>
      <c r="G126" s="305" t="e">
        <f t="shared" si="83"/>
        <v>#DIV/0!</v>
      </c>
      <c r="H126" s="305" t="e">
        <f t="shared" si="83"/>
        <v>#DIV/0!</v>
      </c>
      <c r="I126" s="386" t="s">
        <v>560</v>
      </c>
      <c r="J126" s="450">
        <v>541</v>
      </c>
      <c r="K126" s="541"/>
      <c r="L126" s="304"/>
      <c r="M126" s="355">
        <v>25</v>
      </c>
      <c r="N126" s="355">
        <v>33000</v>
      </c>
      <c r="O126" s="305" t="e">
        <f t="shared" si="84"/>
        <v>#DIV/0!</v>
      </c>
      <c r="P126" s="305" t="e">
        <f t="shared" si="84"/>
        <v>#DIV/0!</v>
      </c>
      <c r="Q126" s="541"/>
      <c r="R126" s="304"/>
      <c r="S126" s="355">
        <v>16</v>
      </c>
      <c r="T126" s="355">
        <v>21120</v>
      </c>
      <c r="U126" s="305" t="e">
        <f t="shared" si="85"/>
        <v>#DIV/0!</v>
      </c>
      <c r="V126" s="305" t="e">
        <f t="shared" si="85"/>
        <v>#DIV/0!</v>
      </c>
      <c r="W126" s="307"/>
      <c r="X126" s="304"/>
      <c r="Y126" s="355"/>
      <c r="Z126" s="355"/>
      <c r="AA126" s="305" t="e">
        <f t="shared" si="86"/>
        <v>#DIV/0!</v>
      </c>
      <c r="AB126" s="308" t="e">
        <f t="shared" si="86"/>
        <v>#DIV/0!</v>
      </c>
    </row>
    <row r="127" spans="1:28" ht="31.5" x14ac:dyDescent="0.25">
      <c r="A127" s="296">
        <v>13</v>
      </c>
      <c r="B127" s="540" t="s">
        <v>17</v>
      </c>
      <c r="C127" s="304">
        <f t="shared" si="81"/>
        <v>116</v>
      </c>
      <c r="D127" s="304">
        <f t="shared" si="81"/>
        <v>139200</v>
      </c>
      <c r="E127" s="304">
        <f t="shared" si="81"/>
        <v>0</v>
      </c>
      <c r="F127" s="304">
        <f t="shared" si="82"/>
        <v>0</v>
      </c>
      <c r="G127" s="305">
        <f t="shared" si="83"/>
        <v>0</v>
      </c>
      <c r="H127" s="305">
        <f t="shared" si="83"/>
        <v>0</v>
      </c>
      <c r="I127" s="386" t="s">
        <v>613</v>
      </c>
      <c r="J127" s="387">
        <v>32599</v>
      </c>
      <c r="K127" s="541">
        <v>50</v>
      </c>
      <c r="L127" s="304">
        <v>60000</v>
      </c>
      <c r="M127" s="355"/>
      <c r="N127" s="355"/>
      <c r="O127" s="305">
        <f t="shared" si="84"/>
        <v>0</v>
      </c>
      <c r="P127" s="305">
        <f t="shared" si="84"/>
        <v>0</v>
      </c>
      <c r="Q127" s="541">
        <v>35</v>
      </c>
      <c r="R127" s="304">
        <v>42000</v>
      </c>
      <c r="S127" s="355"/>
      <c r="T127" s="355"/>
      <c r="U127" s="305">
        <f t="shared" si="85"/>
        <v>0</v>
      </c>
      <c r="V127" s="305">
        <f t="shared" si="85"/>
        <v>0</v>
      </c>
      <c r="W127" s="307">
        <v>31</v>
      </c>
      <c r="X127" s="304">
        <v>37200</v>
      </c>
      <c r="Y127" s="355"/>
      <c r="Z127" s="355"/>
      <c r="AA127" s="305">
        <f t="shared" si="86"/>
        <v>0</v>
      </c>
      <c r="AB127" s="308">
        <f t="shared" si="86"/>
        <v>0</v>
      </c>
    </row>
    <row r="128" spans="1:28" ht="16.5" thickBot="1" x14ac:dyDescent="0.3">
      <c r="A128" s="402">
        <v>14</v>
      </c>
      <c r="B128" s="362" t="s">
        <v>18</v>
      </c>
      <c r="C128" s="309">
        <f t="shared" si="81"/>
        <v>201</v>
      </c>
      <c r="D128" s="309">
        <f t="shared" si="81"/>
        <v>241200</v>
      </c>
      <c r="E128" s="309">
        <f t="shared" si="81"/>
        <v>0</v>
      </c>
      <c r="F128" s="309">
        <f t="shared" si="82"/>
        <v>0</v>
      </c>
      <c r="G128" s="310">
        <f t="shared" si="83"/>
        <v>0</v>
      </c>
      <c r="H128" s="310">
        <f t="shared" si="83"/>
        <v>0</v>
      </c>
      <c r="I128" s="388"/>
      <c r="J128" s="389"/>
      <c r="K128" s="542">
        <v>106</v>
      </c>
      <c r="L128" s="309">
        <v>127200</v>
      </c>
      <c r="M128" s="356"/>
      <c r="N128" s="356"/>
      <c r="O128" s="310">
        <f t="shared" si="84"/>
        <v>0</v>
      </c>
      <c r="P128" s="310">
        <f t="shared" si="84"/>
        <v>0</v>
      </c>
      <c r="Q128" s="542">
        <v>54</v>
      </c>
      <c r="R128" s="309">
        <v>64800</v>
      </c>
      <c r="S128" s="356"/>
      <c r="T128" s="356"/>
      <c r="U128" s="310">
        <f t="shared" si="85"/>
        <v>0</v>
      </c>
      <c r="V128" s="310">
        <f t="shared" si="85"/>
        <v>0</v>
      </c>
      <c r="W128" s="312">
        <v>41</v>
      </c>
      <c r="X128" s="309">
        <v>49200</v>
      </c>
      <c r="Y128" s="356"/>
      <c r="Z128" s="356"/>
      <c r="AA128" s="310">
        <f t="shared" si="86"/>
        <v>0</v>
      </c>
      <c r="AB128" s="313">
        <f t="shared" si="86"/>
        <v>0</v>
      </c>
    </row>
    <row r="129" spans="1:28" x14ac:dyDescent="0.25">
      <c r="B129" s="443"/>
      <c r="C129" s="444"/>
      <c r="D129" s="444"/>
      <c r="E129" s="444"/>
      <c r="F129" s="448"/>
      <c r="G129" s="445"/>
      <c r="H129" s="448"/>
      <c r="I129" s="446"/>
      <c r="M129" s="448"/>
      <c r="N129" s="445"/>
    </row>
    <row r="130" spans="1:28" x14ac:dyDescent="0.25">
      <c r="B130" s="443"/>
      <c r="C130" s="444"/>
      <c r="D130" s="444"/>
      <c r="E130" s="444"/>
      <c r="F130" s="448"/>
      <c r="G130" s="445"/>
      <c r="H130" s="448"/>
      <c r="I130" s="446"/>
      <c r="M130" s="448"/>
      <c r="N130" s="445"/>
    </row>
    <row r="131" spans="1:28" ht="19.5" thickBot="1" x14ac:dyDescent="0.35">
      <c r="B131" s="376" t="s">
        <v>607</v>
      </c>
    </row>
    <row r="132" spans="1:28" ht="16.5" customHeight="1" thickBot="1" x14ac:dyDescent="0.3">
      <c r="A132" s="664" t="s">
        <v>0</v>
      </c>
      <c r="B132" s="667" t="s">
        <v>195</v>
      </c>
      <c r="C132" s="670" t="s">
        <v>196</v>
      </c>
      <c r="D132" s="671"/>
      <c r="E132" s="671"/>
      <c r="F132" s="671"/>
      <c r="G132" s="671"/>
      <c r="H132" s="672"/>
      <c r="I132" s="673" t="s">
        <v>557</v>
      </c>
      <c r="J132" s="674"/>
      <c r="K132" s="679" t="s">
        <v>197</v>
      </c>
      <c r="L132" s="680"/>
      <c r="M132" s="680"/>
      <c r="N132" s="680"/>
      <c r="O132" s="680"/>
      <c r="P132" s="680"/>
      <c r="Q132" s="680"/>
      <c r="R132" s="680"/>
      <c r="S132" s="680"/>
      <c r="T132" s="680"/>
      <c r="U132" s="680"/>
      <c r="V132" s="680"/>
      <c r="W132" s="680"/>
      <c r="X132" s="680"/>
      <c r="Y132" s="680"/>
      <c r="Z132" s="680"/>
      <c r="AA132" s="680"/>
      <c r="AB132" s="681"/>
    </row>
    <row r="133" spans="1:28" ht="15.75" customHeight="1" x14ac:dyDescent="0.25">
      <c r="A133" s="665"/>
      <c r="B133" s="668"/>
      <c r="C133" s="682" t="s">
        <v>143</v>
      </c>
      <c r="D133" s="683"/>
      <c r="E133" s="686" t="s">
        <v>198</v>
      </c>
      <c r="F133" s="683"/>
      <c r="G133" s="686" t="s">
        <v>199</v>
      </c>
      <c r="H133" s="688"/>
      <c r="I133" s="675"/>
      <c r="J133" s="676"/>
      <c r="K133" s="690" t="s">
        <v>200</v>
      </c>
      <c r="L133" s="691"/>
      <c r="M133" s="691"/>
      <c r="N133" s="691"/>
      <c r="O133" s="691"/>
      <c r="P133" s="692"/>
      <c r="Q133" s="690" t="s">
        <v>201</v>
      </c>
      <c r="R133" s="691"/>
      <c r="S133" s="691"/>
      <c r="T133" s="691"/>
      <c r="U133" s="691"/>
      <c r="V133" s="692"/>
      <c r="W133" s="690" t="s">
        <v>202</v>
      </c>
      <c r="X133" s="691"/>
      <c r="Y133" s="691"/>
      <c r="Z133" s="691"/>
      <c r="AA133" s="691"/>
      <c r="AB133" s="692"/>
    </row>
    <row r="134" spans="1:28" ht="15.75" x14ac:dyDescent="0.25">
      <c r="A134" s="665"/>
      <c r="B134" s="668"/>
      <c r="C134" s="684"/>
      <c r="D134" s="685"/>
      <c r="E134" s="687"/>
      <c r="F134" s="685"/>
      <c r="G134" s="687"/>
      <c r="H134" s="689"/>
      <c r="I134" s="677"/>
      <c r="J134" s="678"/>
      <c r="K134" s="693" t="s">
        <v>143</v>
      </c>
      <c r="L134" s="694"/>
      <c r="M134" s="695" t="s">
        <v>198</v>
      </c>
      <c r="N134" s="694"/>
      <c r="O134" s="695" t="s">
        <v>199</v>
      </c>
      <c r="P134" s="696"/>
      <c r="Q134" s="693" t="s">
        <v>143</v>
      </c>
      <c r="R134" s="694"/>
      <c r="S134" s="695" t="s">
        <v>198</v>
      </c>
      <c r="T134" s="694"/>
      <c r="U134" s="695" t="s">
        <v>199</v>
      </c>
      <c r="V134" s="696"/>
      <c r="W134" s="693" t="s">
        <v>143</v>
      </c>
      <c r="X134" s="694"/>
      <c r="Y134" s="695" t="s">
        <v>198</v>
      </c>
      <c r="Z134" s="694"/>
      <c r="AA134" s="695" t="s">
        <v>199</v>
      </c>
      <c r="AB134" s="696"/>
    </row>
    <row r="135" spans="1:28" ht="16.5" thickBot="1" x14ac:dyDescent="0.3">
      <c r="A135" s="666"/>
      <c r="B135" s="669"/>
      <c r="C135" s="532" t="s">
        <v>203</v>
      </c>
      <c r="D135" s="290" t="s">
        <v>204</v>
      </c>
      <c r="E135" s="290" t="s">
        <v>203</v>
      </c>
      <c r="F135" s="290" t="s">
        <v>204</v>
      </c>
      <c r="G135" s="290" t="s">
        <v>203</v>
      </c>
      <c r="H135" s="290" t="s">
        <v>204</v>
      </c>
      <c r="I135" s="532" t="s">
        <v>558</v>
      </c>
      <c r="J135" s="534" t="s">
        <v>204</v>
      </c>
      <c r="K135" s="532" t="s">
        <v>203</v>
      </c>
      <c r="L135" s="290" t="s">
        <v>204</v>
      </c>
      <c r="M135" s="290" t="s">
        <v>203</v>
      </c>
      <c r="N135" s="290" t="s">
        <v>204</v>
      </c>
      <c r="O135" s="290" t="s">
        <v>203</v>
      </c>
      <c r="P135" s="290" t="s">
        <v>204</v>
      </c>
      <c r="Q135" s="532" t="s">
        <v>203</v>
      </c>
      <c r="R135" s="290" t="s">
        <v>204</v>
      </c>
      <c r="S135" s="290" t="s">
        <v>203</v>
      </c>
      <c r="T135" s="290" t="s">
        <v>204</v>
      </c>
      <c r="U135" s="290" t="s">
        <v>203</v>
      </c>
      <c r="V135" s="290" t="s">
        <v>204</v>
      </c>
      <c r="W135" s="532" t="s">
        <v>203</v>
      </c>
      <c r="X135" s="290" t="s">
        <v>204</v>
      </c>
      <c r="Y135" s="290" t="s">
        <v>203</v>
      </c>
      <c r="Z135" s="290" t="s">
        <v>204</v>
      </c>
      <c r="AA135" s="290" t="s">
        <v>203</v>
      </c>
      <c r="AB135" s="534" t="s">
        <v>204</v>
      </c>
    </row>
    <row r="136" spans="1:28" ht="16.5" customHeight="1" thickBot="1" x14ac:dyDescent="0.3">
      <c r="A136" s="662" t="s">
        <v>163</v>
      </c>
      <c r="B136" s="663"/>
      <c r="C136" s="291">
        <f t="shared" ref="C136:I136" si="87">SUM(C138:C150)</f>
        <v>2352</v>
      </c>
      <c r="D136" s="292">
        <f t="shared" si="87"/>
        <v>2822400</v>
      </c>
      <c r="E136" s="292">
        <f t="shared" si="87"/>
        <v>5170</v>
      </c>
      <c r="F136" s="292">
        <f t="shared" si="87"/>
        <v>4659460</v>
      </c>
      <c r="G136" s="292" t="e">
        <f t="shared" si="87"/>
        <v>#DIV/0!</v>
      </c>
      <c r="H136" s="292" t="e">
        <f t="shared" si="87"/>
        <v>#DIV/0!</v>
      </c>
      <c r="I136" s="291">
        <f t="shared" si="87"/>
        <v>0</v>
      </c>
      <c r="J136" s="383">
        <f t="shared" ref="J136:AB136" si="88">SUM(J138:J150)</f>
        <v>89471</v>
      </c>
      <c r="K136" s="291">
        <f t="shared" si="88"/>
        <v>658</v>
      </c>
      <c r="L136" s="292">
        <f t="shared" si="88"/>
        <v>789600</v>
      </c>
      <c r="M136" s="292">
        <f t="shared" si="88"/>
        <v>1961</v>
      </c>
      <c r="N136" s="292">
        <f t="shared" si="88"/>
        <v>1869700</v>
      </c>
      <c r="O136" s="292" t="e">
        <f t="shared" si="88"/>
        <v>#DIV/0!</v>
      </c>
      <c r="P136" s="293" t="e">
        <f t="shared" si="88"/>
        <v>#DIV/0!</v>
      </c>
      <c r="Q136" s="291">
        <f t="shared" si="88"/>
        <v>1152</v>
      </c>
      <c r="R136" s="292">
        <f t="shared" si="88"/>
        <v>1382400</v>
      </c>
      <c r="S136" s="292">
        <f t="shared" si="88"/>
        <v>2601</v>
      </c>
      <c r="T136" s="292">
        <f t="shared" si="88"/>
        <v>2154180</v>
      </c>
      <c r="U136" s="292" t="e">
        <f t="shared" si="88"/>
        <v>#DIV/0!</v>
      </c>
      <c r="V136" s="293" t="e">
        <f t="shared" si="88"/>
        <v>#DIV/0!</v>
      </c>
      <c r="W136" s="291">
        <f t="shared" si="88"/>
        <v>542</v>
      </c>
      <c r="X136" s="292">
        <f t="shared" si="88"/>
        <v>650400</v>
      </c>
      <c r="Y136" s="292">
        <f t="shared" si="88"/>
        <v>608</v>
      </c>
      <c r="Z136" s="292">
        <f t="shared" si="88"/>
        <v>635580</v>
      </c>
      <c r="AA136" s="292" t="e">
        <f t="shared" si="88"/>
        <v>#DIV/0!</v>
      </c>
      <c r="AB136" s="293" t="e">
        <f t="shared" si="88"/>
        <v>#DIV/0!</v>
      </c>
    </row>
    <row r="137" spans="1:28" ht="15.75" x14ac:dyDescent="0.25">
      <c r="A137" s="296">
        <v>1</v>
      </c>
      <c r="B137" s="574" t="s">
        <v>127</v>
      </c>
      <c r="C137" s="297"/>
      <c r="D137" s="297"/>
      <c r="E137" s="297"/>
      <c r="F137" s="297"/>
      <c r="G137" s="298"/>
      <c r="H137" s="298"/>
      <c r="I137" s="384"/>
      <c r="J137" s="385"/>
      <c r="K137" s="539"/>
      <c r="L137" s="297"/>
      <c r="M137" s="354"/>
      <c r="N137" s="354"/>
      <c r="O137" s="298"/>
      <c r="P137" s="298"/>
      <c r="Q137" s="539"/>
      <c r="R137" s="297"/>
      <c r="S137" s="354"/>
      <c r="T137" s="354"/>
      <c r="U137" s="298"/>
      <c r="V137" s="298"/>
      <c r="W137" s="300"/>
      <c r="X137" s="297"/>
      <c r="Y137" s="354"/>
      <c r="Z137" s="354"/>
      <c r="AA137" s="298"/>
      <c r="AB137" s="301"/>
    </row>
    <row r="138" spans="1:28" ht="15.75" x14ac:dyDescent="0.25">
      <c r="A138" s="296">
        <v>2</v>
      </c>
      <c r="B138" s="574" t="s">
        <v>205</v>
      </c>
      <c r="C138" s="297">
        <f t="shared" ref="C138:E150" si="89">+K138+Q138+W138</f>
        <v>659</v>
      </c>
      <c r="D138" s="297">
        <f t="shared" si="89"/>
        <v>790800</v>
      </c>
      <c r="E138" s="297">
        <f>+M138+S138+Y138</f>
        <v>1643</v>
      </c>
      <c r="F138" s="297">
        <f t="shared" ref="F138:F150" si="90">+N138+T138+Z138</f>
        <v>1084380</v>
      </c>
      <c r="G138" s="298">
        <f>+E138/C138</f>
        <v>2.4931714719271625</v>
      </c>
      <c r="H138" s="298">
        <f>+F138/D138</f>
        <v>1.3712443095599394</v>
      </c>
      <c r="I138" s="384"/>
      <c r="J138" s="385"/>
      <c r="K138" s="539"/>
      <c r="L138" s="297"/>
      <c r="M138" s="354">
        <v>208</v>
      </c>
      <c r="N138" s="354">
        <v>137280</v>
      </c>
      <c r="O138" s="298" t="e">
        <f>+M138/K138</f>
        <v>#DIV/0!</v>
      </c>
      <c r="P138" s="298" t="e">
        <f>+N138/L138</f>
        <v>#DIV/0!</v>
      </c>
      <c r="Q138" s="539">
        <v>659</v>
      </c>
      <c r="R138" s="297">
        <v>790800</v>
      </c>
      <c r="S138" s="354">
        <v>1435</v>
      </c>
      <c r="T138" s="354">
        <v>947100</v>
      </c>
      <c r="U138" s="298">
        <f>+S138/Q138</f>
        <v>2.1775417298937785</v>
      </c>
      <c r="V138" s="298">
        <f>+T138/R138</f>
        <v>1.1976479514415781</v>
      </c>
      <c r="W138" s="300"/>
      <c r="X138" s="297"/>
      <c r="Y138" s="354"/>
      <c r="Z138" s="354"/>
      <c r="AA138" s="298" t="e">
        <f>+Y138/W138</f>
        <v>#DIV/0!</v>
      </c>
      <c r="AB138" s="301" t="e">
        <f>+Z138/X138</f>
        <v>#DIV/0!</v>
      </c>
    </row>
    <row r="139" spans="1:28" ht="15.75" x14ac:dyDescent="0.25">
      <c r="A139" s="296">
        <v>3</v>
      </c>
      <c r="B139" s="360" t="s">
        <v>147</v>
      </c>
      <c r="C139" s="304">
        <f t="shared" si="89"/>
        <v>0</v>
      </c>
      <c r="D139" s="304">
        <f t="shared" si="89"/>
        <v>0</v>
      </c>
      <c r="E139" s="304">
        <f>+M139+S139+Y139</f>
        <v>240</v>
      </c>
      <c r="F139" s="304">
        <f t="shared" si="90"/>
        <v>316800</v>
      </c>
      <c r="G139" s="305" t="e">
        <f t="shared" ref="G139:H150" si="91">+E139/C139</f>
        <v>#DIV/0!</v>
      </c>
      <c r="H139" s="305" t="e">
        <f t="shared" si="91"/>
        <v>#DIV/0!</v>
      </c>
      <c r="I139" s="386" t="s">
        <v>614</v>
      </c>
      <c r="J139" s="387">
        <v>6600</v>
      </c>
      <c r="K139" s="541"/>
      <c r="L139" s="304"/>
      <c r="M139" s="355">
        <v>94</v>
      </c>
      <c r="N139" s="355">
        <v>124080</v>
      </c>
      <c r="O139" s="305" t="e">
        <f t="shared" ref="O139:P150" si="92">+M139/K139</f>
        <v>#DIV/0!</v>
      </c>
      <c r="P139" s="305" t="e">
        <f t="shared" si="92"/>
        <v>#DIV/0!</v>
      </c>
      <c r="Q139" s="541"/>
      <c r="R139" s="304"/>
      <c r="S139" s="355">
        <v>86</v>
      </c>
      <c r="T139" s="355">
        <v>113520</v>
      </c>
      <c r="U139" s="305" t="e">
        <f t="shared" ref="U139:V150" si="93">+S139/Q139</f>
        <v>#DIV/0!</v>
      </c>
      <c r="V139" s="305" t="e">
        <f t="shared" si="93"/>
        <v>#DIV/0!</v>
      </c>
      <c r="W139" s="307"/>
      <c r="X139" s="304"/>
      <c r="Y139" s="355">
        <v>60</v>
      </c>
      <c r="Z139" s="355">
        <v>79200</v>
      </c>
      <c r="AA139" s="305" t="e">
        <f t="shared" ref="AA139:AB150" si="94">+Y139/W139</f>
        <v>#DIV/0!</v>
      </c>
      <c r="AB139" s="308" t="e">
        <f t="shared" si="94"/>
        <v>#DIV/0!</v>
      </c>
    </row>
    <row r="140" spans="1:28" ht="15.75" x14ac:dyDescent="0.25">
      <c r="A140" s="296">
        <v>4</v>
      </c>
      <c r="B140" s="360" t="s">
        <v>148</v>
      </c>
      <c r="C140" s="304">
        <f t="shared" si="89"/>
        <v>142</v>
      </c>
      <c r="D140" s="304">
        <f t="shared" si="89"/>
        <v>170400</v>
      </c>
      <c r="E140" s="304">
        <f>+M140+S140+Y140</f>
        <v>252</v>
      </c>
      <c r="F140" s="304">
        <f t="shared" si="90"/>
        <v>332640</v>
      </c>
      <c r="G140" s="305">
        <f t="shared" si="91"/>
        <v>1.7746478873239437</v>
      </c>
      <c r="H140" s="305">
        <f t="shared" si="91"/>
        <v>1.9521126760563381</v>
      </c>
      <c r="I140" s="386"/>
      <c r="J140" s="387"/>
      <c r="K140" s="541"/>
      <c r="L140" s="304"/>
      <c r="M140" s="355">
        <v>164</v>
      </c>
      <c r="N140" s="355">
        <v>216480</v>
      </c>
      <c r="O140" s="305" t="e">
        <f t="shared" si="92"/>
        <v>#DIV/0!</v>
      </c>
      <c r="P140" s="305" t="e">
        <f t="shared" si="92"/>
        <v>#DIV/0!</v>
      </c>
      <c r="Q140" s="541"/>
      <c r="R140" s="304"/>
      <c r="S140" s="355">
        <v>88</v>
      </c>
      <c r="T140" s="355">
        <v>116160</v>
      </c>
      <c r="U140" s="305" t="e">
        <f t="shared" si="93"/>
        <v>#DIV/0!</v>
      </c>
      <c r="V140" s="305" t="e">
        <f t="shared" si="93"/>
        <v>#DIV/0!</v>
      </c>
      <c r="W140" s="307">
        <v>142</v>
      </c>
      <c r="X140" s="304">
        <v>170400</v>
      </c>
      <c r="Y140" s="355"/>
      <c r="Z140" s="355"/>
      <c r="AA140" s="305">
        <f t="shared" si="94"/>
        <v>0</v>
      </c>
      <c r="AB140" s="308">
        <f t="shared" si="94"/>
        <v>0</v>
      </c>
    </row>
    <row r="141" spans="1:28" ht="31.5" x14ac:dyDescent="0.25">
      <c r="A141" s="296">
        <v>5</v>
      </c>
      <c r="B141" s="360" t="s">
        <v>206</v>
      </c>
      <c r="C141" s="304">
        <f t="shared" si="89"/>
        <v>199</v>
      </c>
      <c r="D141" s="304">
        <f t="shared" si="89"/>
        <v>238800</v>
      </c>
      <c r="E141" s="304">
        <f>+M141+S141+Y141</f>
        <v>455</v>
      </c>
      <c r="F141" s="304">
        <f t="shared" si="90"/>
        <v>468600</v>
      </c>
      <c r="G141" s="305">
        <f t="shared" si="91"/>
        <v>2.2864321608040199</v>
      </c>
      <c r="H141" s="305">
        <f t="shared" si="91"/>
        <v>1.9623115577889447</v>
      </c>
      <c r="I141" s="386" t="s">
        <v>615</v>
      </c>
      <c r="J141" s="450">
        <v>1320</v>
      </c>
      <c r="K141" s="541">
        <v>80</v>
      </c>
      <c r="L141" s="304">
        <v>96000</v>
      </c>
      <c r="M141" s="355">
        <v>277</v>
      </c>
      <c r="N141" s="355">
        <v>246180</v>
      </c>
      <c r="O141" s="305">
        <f t="shared" si="92"/>
        <v>3.4624999999999999</v>
      </c>
      <c r="P141" s="305">
        <f t="shared" si="92"/>
        <v>2.5643750000000001</v>
      </c>
      <c r="Q141" s="541">
        <v>70</v>
      </c>
      <c r="R141" s="304">
        <v>84000</v>
      </c>
      <c r="S141" s="355">
        <v>115</v>
      </c>
      <c r="T141" s="355">
        <v>141240</v>
      </c>
      <c r="U141" s="305">
        <f t="shared" si="93"/>
        <v>1.6428571428571428</v>
      </c>
      <c r="V141" s="305">
        <f t="shared" si="93"/>
        <v>1.6814285714285715</v>
      </c>
      <c r="W141" s="307">
        <v>49</v>
      </c>
      <c r="X141" s="304">
        <v>58800</v>
      </c>
      <c r="Y141" s="355">
        <v>63</v>
      </c>
      <c r="Z141" s="355">
        <v>81180</v>
      </c>
      <c r="AA141" s="305">
        <f t="shared" si="94"/>
        <v>1.2857142857142858</v>
      </c>
      <c r="AB141" s="308">
        <f t="shared" si="94"/>
        <v>1.3806122448979592</v>
      </c>
    </row>
    <row r="142" spans="1:28" ht="15.75" x14ac:dyDescent="0.25">
      <c r="A142" s="296">
        <v>6</v>
      </c>
      <c r="B142" s="360" t="s">
        <v>174</v>
      </c>
      <c r="C142" s="304">
        <f t="shared" si="89"/>
        <v>360</v>
      </c>
      <c r="D142" s="304">
        <f t="shared" si="89"/>
        <v>432000</v>
      </c>
      <c r="E142" s="304">
        <f>+M142+S142+Y142</f>
        <v>300</v>
      </c>
      <c r="F142" s="304">
        <f t="shared" si="90"/>
        <v>396000</v>
      </c>
      <c r="G142" s="305">
        <f t="shared" si="91"/>
        <v>0.83333333333333337</v>
      </c>
      <c r="H142" s="305">
        <f t="shared" si="91"/>
        <v>0.91666666666666663</v>
      </c>
      <c r="I142" s="386"/>
      <c r="J142" s="387"/>
      <c r="K142" s="541">
        <v>120</v>
      </c>
      <c r="L142" s="304">
        <v>144000</v>
      </c>
      <c r="M142" s="355">
        <v>124</v>
      </c>
      <c r="N142" s="355">
        <v>163680</v>
      </c>
      <c r="O142" s="305">
        <f t="shared" si="92"/>
        <v>1.0333333333333334</v>
      </c>
      <c r="P142" s="305">
        <f t="shared" si="92"/>
        <v>1.1366666666666667</v>
      </c>
      <c r="Q142" s="541">
        <v>120</v>
      </c>
      <c r="R142" s="304">
        <v>144000</v>
      </c>
      <c r="S142" s="355">
        <v>102</v>
      </c>
      <c r="T142" s="355">
        <v>134640</v>
      </c>
      <c r="U142" s="305">
        <f t="shared" si="93"/>
        <v>0.85</v>
      </c>
      <c r="V142" s="305">
        <f t="shared" si="93"/>
        <v>0.93500000000000005</v>
      </c>
      <c r="W142" s="307">
        <v>120</v>
      </c>
      <c r="X142" s="304">
        <v>144000</v>
      </c>
      <c r="Y142" s="355">
        <v>74</v>
      </c>
      <c r="Z142" s="355">
        <v>97680</v>
      </c>
      <c r="AA142" s="305">
        <f t="shared" si="94"/>
        <v>0.6166666666666667</v>
      </c>
      <c r="AB142" s="308">
        <f t="shared" si="94"/>
        <v>0.67833333333333334</v>
      </c>
    </row>
    <row r="143" spans="1:28" ht="15.75" x14ac:dyDescent="0.25">
      <c r="A143" s="296">
        <v>7</v>
      </c>
      <c r="B143" s="360" t="s">
        <v>151</v>
      </c>
      <c r="C143" s="304">
        <f t="shared" si="89"/>
        <v>348</v>
      </c>
      <c r="D143" s="304">
        <f t="shared" si="89"/>
        <v>417600</v>
      </c>
      <c r="E143" s="304">
        <f t="shared" si="89"/>
        <v>337</v>
      </c>
      <c r="F143" s="304">
        <f t="shared" si="90"/>
        <v>223080</v>
      </c>
      <c r="G143" s="305">
        <f t="shared" si="91"/>
        <v>0.9683908045977011</v>
      </c>
      <c r="H143" s="305">
        <f t="shared" si="91"/>
        <v>0.53419540229885054</v>
      </c>
      <c r="I143" s="386"/>
      <c r="J143" s="387"/>
      <c r="K143" s="541">
        <v>148</v>
      </c>
      <c r="L143" s="304">
        <v>177600</v>
      </c>
      <c r="M143" s="355">
        <v>125</v>
      </c>
      <c r="N143" s="355">
        <v>82500</v>
      </c>
      <c r="O143" s="305">
        <f t="shared" si="92"/>
        <v>0.84459459459459463</v>
      </c>
      <c r="P143" s="305">
        <f t="shared" si="92"/>
        <v>0.46452702702702703</v>
      </c>
      <c r="Q143" s="541">
        <v>120</v>
      </c>
      <c r="R143" s="304">
        <v>144000</v>
      </c>
      <c r="S143" s="355">
        <v>211</v>
      </c>
      <c r="T143" s="355">
        <v>139260</v>
      </c>
      <c r="U143" s="305">
        <f t="shared" si="93"/>
        <v>1.7583333333333333</v>
      </c>
      <c r="V143" s="305">
        <f t="shared" si="93"/>
        <v>0.96708333333333329</v>
      </c>
      <c r="W143" s="307">
        <v>80</v>
      </c>
      <c r="X143" s="304">
        <v>96000</v>
      </c>
      <c r="Y143" s="355">
        <v>1</v>
      </c>
      <c r="Z143" s="355">
        <v>1320</v>
      </c>
      <c r="AA143" s="305">
        <f t="shared" si="94"/>
        <v>1.2500000000000001E-2</v>
      </c>
      <c r="AB143" s="308">
        <f t="shared" si="94"/>
        <v>1.375E-2</v>
      </c>
    </row>
    <row r="144" spans="1:28" ht="15.75" x14ac:dyDescent="0.25">
      <c r="A144" s="296">
        <v>8</v>
      </c>
      <c r="B144" s="360" t="s">
        <v>207</v>
      </c>
      <c r="C144" s="304">
        <f t="shared" si="89"/>
        <v>0</v>
      </c>
      <c r="D144" s="304">
        <f t="shared" si="89"/>
        <v>0</v>
      </c>
      <c r="E144" s="304">
        <f t="shared" si="89"/>
        <v>179</v>
      </c>
      <c r="F144" s="304">
        <f t="shared" si="90"/>
        <v>236280</v>
      </c>
      <c r="G144" s="305" t="e">
        <f t="shared" si="91"/>
        <v>#DIV/0!</v>
      </c>
      <c r="H144" s="305" t="e">
        <f t="shared" si="91"/>
        <v>#DIV/0!</v>
      </c>
      <c r="I144" s="386"/>
      <c r="J144" s="387"/>
      <c r="K144" s="541"/>
      <c r="L144" s="304"/>
      <c r="M144" s="355"/>
      <c r="N144" s="355"/>
      <c r="O144" s="305" t="e">
        <f t="shared" si="92"/>
        <v>#DIV/0!</v>
      </c>
      <c r="P144" s="305" t="e">
        <f t="shared" si="92"/>
        <v>#DIV/0!</v>
      </c>
      <c r="Q144" s="541"/>
      <c r="R144" s="304"/>
      <c r="S144" s="355">
        <v>100</v>
      </c>
      <c r="T144" s="355">
        <v>132000</v>
      </c>
      <c r="U144" s="305" t="e">
        <f t="shared" si="93"/>
        <v>#DIV/0!</v>
      </c>
      <c r="V144" s="305" t="e">
        <f t="shared" si="93"/>
        <v>#DIV/0!</v>
      </c>
      <c r="W144" s="307"/>
      <c r="X144" s="304"/>
      <c r="Y144" s="355">
        <v>79</v>
      </c>
      <c r="Z144" s="355">
        <v>104280</v>
      </c>
      <c r="AA144" s="305" t="e">
        <f t="shared" si="94"/>
        <v>#DIV/0!</v>
      </c>
      <c r="AB144" s="308" t="e">
        <f t="shared" si="94"/>
        <v>#DIV/0!</v>
      </c>
    </row>
    <row r="145" spans="1:28" ht="47.25" x14ac:dyDescent="0.25">
      <c r="A145" s="296">
        <v>9</v>
      </c>
      <c r="B145" s="360" t="s">
        <v>153</v>
      </c>
      <c r="C145" s="304">
        <f t="shared" si="89"/>
        <v>128</v>
      </c>
      <c r="D145" s="304">
        <f t="shared" si="89"/>
        <v>153600</v>
      </c>
      <c r="E145" s="304">
        <f t="shared" si="89"/>
        <v>210</v>
      </c>
      <c r="F145" s="304">
        <f t="shared" si="90"/>
        <v>275880</v>
      </c>
      <c r="G145" s="305">
        <f t="shared" si="91"/>
        <v>1.640625</v>
      </c>
      <c r="H145" s="305">
        <f t="shared" si="91"/>
        <v>1.79609375</v>
      </c>
      <c r="I145" s="386" t="s">
        <v>616</v>
      </c>
      <c r="J145" s="387">
        <v>12022</v>
      </c>
      <c r="K145" s="541">
        <v>68</v>
      </c>
      <c r="L145" s="304">
        <v>81600</v>
      </c>
      <c r="M145" s="355">
        <v>127</v>
      </c>
      <c r="N145" s="355">
        <v>167640</v>
      </c>
      <c r="O145" s="305">
        <f t="shared" si="92"/>
        <v>1.8676470588235294</v>
      </c>
      <c r="P145" s="305">
        <f t="shared" si="92"/>
        <v>2.0544117647058822</v>
      </c>
      <c r="Q145" s="541">
        <v>36</v>
      </c>
      <c r="R145" s="304">
        <v>43200</v>
      </c>
      <c r="S145" s="355">
        <v>53</v>
      </c>
      <c r="T145" s="355">
        <v>68640</v>
      </c>
      <c r="U145" s="305">
        <f t="shared" si="93"/>
        <v>1.4722222222222223</v>
      </c>
      <c r="V145" s="305">
        <f t="shared" si="93"/>
        <v>1.5888888888888888</v>
      </c>
      <c r="W145" s="307">
        <v>24</v>
      </c>
      <c r="X145" s="304">
        <v>28800</v>
      </c>
      <c r="Y145" s="355">
        <v>30</v>
      </c>
      <c r="Z145" s="355">
        <v>39600</v>
      </c>
      <c r="AA145" s="305">
        <f t="shared" si="94"/>
        <v>1.25</v>
      </c>
      <c r="AB145" s="308">
        <f t="shared" si="94"/>
        <v>1.375</v>
      </c>
    </row>
    <row r="146" spans="1:28" ht="47.25" x14ac:dyDescent="0.25">
      <c r="A146" s="296">
        <v>10</v>
      </c>
      <c r="B146" s="360" t="s">
        <v>154</v>
      </c>
      <c r="C146" s="304">
        <f t="shared" si="89"/>
        <v>89</v>
      </c>
      <c r="D146" s="304">
        <f t="shared" si="89"/>
        <v>106800</v>
      </c>
      <c r="E146" s="304">
        <f t="shared" si="89"/>
        <v>200</v>
      </c>
      <c r="F146" s="304">
        <f t="shared" si="90"/>
        <v>215800</v>
      </c>
      <c r="G146" s="305">
        <f t="shared" si="91"/>
        <v>2.2471910112359552</v>
      </c>
      <c r="H146" s="305">
        <f t="shared" si="91"/>
        <v>2.0205992509363297</v>
      </c>
      <c r="I146" s="386" t="s">
        <v>617</v>
      </c>
      <c r="J146" s="387">
        <v>4840</v>
      </c>
      <c r="K146" s="541">
        <v>36</v>
      </c>
      <c r="L146" s="304">
        <v>43200</v>
      </c>
      <c r="M146" s="355">
        <v>105</v>
      </c>
      <c r="N146" s="355">
        <v>115500</v>
      </c>
      <c r="O146" s="305">
        <f t="shared" si="92"/>
        <v>2.9166666666666665</v>
      </c>
      <c r="P146" s="305">
        <f t="shared" si="92"/>
        <v>2.6736111111111112</v>
      </c>
      <c r="Q146" s="541">
        <v>28</v>
      </c>
      <c r="R146" s="304">
        <v>33600</v>
      </c>
      <c r="S146" s="355">
        <v>49</v>
      </c>
      <c r="T146" s="355">
        <v>50800</v>
      </c>
      <c r="U146" s="305">
        <f t="shared" si="93"/>
        <v>1.75</v>
      </c>
      <c r="V146" s="305">
        <f t="shared" si="93"/>
        <v>1.5119047619047619</v>
      </c>
      <c r="W146" s="307">
        <v>25</v>
      </c>
      <c r="X146" s="304">
        <v>30000</v>
      </c>
      <c r="Y146" s="355">
        <v>46</v>
      </c>
      <c r="Z146" s="355">
        <v>49500</v>
      </c>
      <c r="AA146" s="305">
        <f t="shared" si="94"/>
        <v>1.84</v>
      </c>
      <c r="AB146" s="308">
        <f t="shared" si="94"/>
        <v>1.65</v>
      </c>
    </row>
    <row r="147" spans="1:28" ht="15.75" x14ac:dyDescent="0.25">
      <c r="A147" s="296">
        <v>11</v>
      </c>
      <c r="B147" s="360" t="s">
        <v>15</v>
      </c>
      <c r="C147" s="304">
        <f t="shared" si="89"/>
        <v>110</v>
      </c>
      <c r="D147" s="304">
        <f t="shared" si="89"/>
        <v>132000</v>
      </c>
      <c r="E147" s="304">
        <f t="shared" si="89"/>
        <v>144</v>
      </c>
      <c r="F147" s="304">
        <f t="shared" si="90"/>
        <v>190080</v>
      </c>
      <c r="G147" s="305">
        <f t="shared" si="91"/>
        <v>1.3090909090909091</v>
      </c>
      <c r="H147" s="305">
        <f t="shared" si="91"/>
        <v>1.44</v>
      </c>
      <c r="I147" s="386" t="s">
        <v>618</v>
      </c>
      <c r="J147" s="450">
        <v>1909</v>
      </c>
      <c r="K147" s="541">
        <v>50</v>
      </c>
      <c r="L147" s="304">
        <v>60000</v>
      </c>
      <c r="M147" s="355">
        <v>91</v>
      </c>
      <c r="N147" s="355">
        <v>120120</v>
      </c>
      <c r="O147" s="305">
        <f t="shared" si="92"/>
        <v>1.82</v>
      </c>
      <c r="P147" s="305">
        <f t="shared" si="92"/>
        <v>2.0019999999999998</v>
      </c>
      <c r="Q147" s="541">
        <v>30</v>
      </c>
      <c r="R147" s="304">
        <v>36000</v>
      </c>
      <c r="S147" s="355">
        <v>35</v>
      </c>
      <c r="T147" s="355">
        <v>46200</v>
      </c>
      <c r="U147" s="305">
        <f t="shared" si="93"/>
        <v>1.1666666666666667</v>
      </c>
      <c r="V147" s="305">
        <f t="shared" si="93"/>
        <v>1.2833333333333334</v>
      </c>
      <c r="W147" s="307">
        <v>30</v>
      </c>
      <c r="X147" s="304">
        <v>36000</v>
      </c>
      <c r="Y147" s="355">
        <v>18</v>
      </c>
      <c r="Z147" s="355">
        <v>23760</v>
      </c>
      <c r="AA147" s="305">
        <f t="shared" si="94"/>
        <v>0.6</v>
      </c>
      <c r="AB147" s="308">
        <f t="shared" si="94"/>
        <v>0.66</v>
      </c>
    </row>
    <row r="148" spans="1:28" ht="15.75" x14ac:dyDescent="0.25">
      <c r="A148" s="296">
        <v>12</v>
      </c>
      <c r="B148" s="360" t="s">
        <v>155</v>
      </c>
      <c r="C148" s="304">
        <f t="shared" si="89"/>
        <v>0</v>
      </c>
      <c r="D148" s="304">
        <f t="shared" si="89"/>
        <v>0</v>
      </c>
      <c r="E148" s="304">
        <f t="shared" si="89"/>
        <v>171</v>
      </c>
      <c r="F148" s="304">
        <f t="shared" si="90"/>
        <v>225600</v>
      </c>
      <c r="G148" s="305" t="e">
        <f t="shared" si="91"/>
        <v>#DIV/0!</v>
      </c>
      <c r="H148" s="305" t="e">
        <f t="shared" si="91"/>
        <v>#DIV/0!</v>
      </c>
      <c r="I148" s="386"/>
      <c r="J148" s="450"/>
      <c r="K148" s="541"/>
      <c r="L148" s="304"/>
      <c r="M148" s="355">
        <v>99</v>
      </c>
      <c r="N148" s="355">
        <v>130600</v>
      </c>
      <c r="O148" s="305" t="e">
        <f t="shared" si="92"/>
        <v>#DIV/0!</v>
      </c>
      <c r="P148" s="305" t="e">
        <f t="shared" si="92"/>
        <v>#DIV/0!</v>
      </c>
      <c r="Q148" s="541"/>
      <c r="R148" s="304"/>
      <c r="S148" s="355">
        <v>72</v>
      </c>
      <c r="T148" s="355">
        <v>95000</v>
      </c>
      <c r="U148" s="305" t="e">
        <f t="shared" si="93"/>
        <v>#DIV/0!</v>
      </c>
      <c r="V148" s="305" t="e">
        <f t="shared" si="93"/>
        <v>#DIV/0!</v>
      </c>
      <c r="W148" s="307"/>
      <c r="X148" s="304"/>
      <c r="Y148" s="355"/>
      <c r="Z148" s="355"/>
      <c r="AA148" s="305" t="e">
        <f t="shared" si="94"/>
        <v>#DIV/0!</v>
      </c>
      <c r="AB148" s="308" t="e">
        <f t="shared" si="94"/>
        <v>#DIV/0!</v>
      </c>
    </row>
    <row r="149" spans="1:28" ht="94.5" x14ac:dyDescent="0.25">
      <c r="A149" s="296">
        <v>13</v>
      </c>
      <c r="B149" s="360" t="s">
        <v>17</v>
      </c>
      <c r="C149" s="304">
        <f t="shared" si="89"/>
        <v>116</v>
      </c>
      <c r="D149" s="304">
        <f t="shared" si="89"/>
        <v>139200</v>
      </c>
      <c r="E149" s="544">
        <f t="shared" si="89"/>
        <v>651</v>
      </c>
      <c r="F149" s="304">
        <f t="shared" si="90"/>
        <v>429660</v>
      </c>
      <c r="G149" s="305">
        <f t="shared" si="91"/>
        <v>5.6120689655172411</v>
      </c>
      <c r="H149" s="305">
        <f t="shared" si="91"/>
        <v>3.0866379310344829</v>
      </c>
      <c r="I149" s="386" t="s">
        <v>619</v>
      </c>
      <c r="J149" s="387">
        <v>13240</v>
      </c>
      <c r="K149" s="541">
        <v>50</v>
      </c>
      <c r="L149" s="304">
        <v>60000</v>
      </c>
      <c r="M149" s="355">
        <v>257</v>
      </c>
      <c r="N149" s="355">
        <v>169620</v>
      </c>
      <c r="O149" s="305">
        <f t="shared" si="92"/>
        <v>5.14</v>
      </c>
      <c r="P149" s="305">
        <f t="shared" si="92"/>
        <v>2.827</v>
      </c>
      <c r="Q149" s="541">
        <v>35</v>
      </c>
      <c r="R149" s="304">
        <v>42000</v>
      </c>
      <c r="S149" s="355">
        <v>208</v>
      </c>
      <c r="T149" s="355">
        <v>137280</v>
      </c>
      <c r="U149" s="305">
        <f t="shared" si="93"/>
        <v>5.9428571428571431</v>
      </c>
      <c r="V149" s="305">
        <f t="shared" si="93"/>
        <v>3.2685714285714287</v>
      </c>
      <c r="W149" s="307">
        <v>31</v>
      </c>
      <c r="X149" s="304">
        <v>37200</v>
      </c>
      <c r="Y149" s="355">
        <v>186</v>
      </c>
      <c r="Z149" s="355">
        <v>122760</v>
      </c>
      <c r="AA149" s="305">
        <f t="shared" si="94"/>
        <v>6</v>
      </c>
      <c r="AB149" s="308">
        <f t="shared" si="94"/>
        <v>3.3</v>
      </c>
    </row>
    <row r="150" spans="1:28" ht="16.5" thickBot="1" x14ac:dyDescent="0.3">
      <c r="A150" s="402">
        <v>14</v>
      </c>
      <c r="B150" s="362" t="s">
        <v>18</v>
      </c>
      <c r="C150" s="309">
        <f t="shared" si="89"/>
        <v>201</v>
      </c>
      <c r="D150" s="309">
        <f t="shared" si="89"/>
        <v>241200</v>
      </c>
      <c r="E150" s="309">
        <f t="shared" si="89"/>
        <v>388</v>
      </c>
      <c r="F150" s="309">
        <f t="shared" si="90"/>
        <v>264660</v>
      </c>
      <c r="G150" s="310">
        <f t="shared" si="91"/>
        <v>1.9303482587064678</v>
      </c>
      <c r="H150" s="310">
        <f t="shared" si="91"/>
        <v>1.0972636815920398</v>
      </c>
      <c r="I150" s="388" t="s">
        <v>557</v>
      </c>
      <c r="J150" s="389">
        <v>49540</v>
      </c>
      <c r="K150" s="542">
        <v>106</v>
      </c>
      <c r="L150" s="309">
        <v>127200</v>
      </c>
      <c r="M150" s="356">
        <v>290</v>
      </c>
      <c r="N150" s="356">
        <v>196020</v>
      </c>
      <c r="O150" s="310">
        <f t="shared" si="92"/>
        <v>2.7358490566037736</v>
      </c>
      <c r="P150" s="310">
        <f t="shared" si="92"/>
        <v>1.5410377358490566</v>
      </c>
      <c r="Q150" s="542">
        <v>54</v>
      </c>
      <c r="R150" s="309">
        <v>64800</v>
      </c>
      <c r="S150" s="356">
        <v>47</v>
      </c>
      <c r="T150" s="356">
        <v>32340</v>
      </c>
      <c r="U150" s="310">
        <f t="shared" si="93"/>
        <v>0.87037037037037035</v>
      </c>
      <c r="V150" s="310">
        <f t="shared" si="93"/>
        <v>0.49907407407407406</v>
      </c>
      <c r="W150" s="312">
        <v>41</v>
      </c>
      <c r="X150" s="309">
        <v>49200</v>
      </c>
      <c r="Y150" s="356">
        <v>51</v>
      </c>
      <c r="Z150" s="356">
        <v>36300</v>
      </c>
      <c r="AA150" s="310">
        <f t="shared" si="94"/>
        <v>1.2439024390243902</v>
      </c>
      <c r="AB150" s="313">
        <f t="shared" si="94"/>
        <v>0.73780487804878048</v>
      </c>
    </row>
    <row r="151" spans="1:28" x14ac:dyDescent="0.25">
      <c r="B151" s="575"/>
      <c r="C151" s="444"/>
      <c r="D151" s="444"/>
      <c r="E151" s="444"/>
      <c r="F151" s="448"/>
      <c r="G151" s="445"/>
      <c r="H151" s="448"/>
      <c r="I151" s="446"/>
      <c r="M151" s="448"/>
      <c r="N151" s="445"/>
    </row>
    <row r="152" spans="1:28" x14ac:dyDescent="0.25">
      <c r="B152" s="443"/>
      <c r="C152" s="444"/>
      <c r="D152" s="444"/>
      <c r="E152" s="444"/>
      <c r="F152" s="448"/>
      <c r="G152" s="445"/>
      <c r="H152" s="448"/>
      <c r="I152" s="446"/>
      <c r="M152" s="448"/>
      <c r="N152" s="445"/>
    </row>
    <row r="153" spans="1:28" ht="19.5" thickBot="1" x14ac:dyDescent="0.35">
      <c r="B153" s="376" t="s">
        <v>608</v>
      </c>
    </row>
    <row r="154" spans="1:28" ht="16.5" customHeight="1" thickBot="1" x14ac:dyDescent="0.3">
      <c r="A154" s="664" t="s">
        <v>0</v>
      </c>
      <c r="B154" s="667" t="s">
        <v>195</v>
      </c>
      <c r="C154" s="670" t="s">
        <v>196</v>
      </c>
      <c r="D154" s="671"/>
      <c r="E154" s="671"/>
      <c r="F154" s="671"/>
      <c r="G154" s="671"/>
      <c r="H154" s="672"/>
      <c r="I154" s="673" t="s">
        <v>557</v>
      </c>
      <c r="J154" s="674"/>
      <c r="K154" s="679" t="s">
        <v>197</v>
      </c>
      <c r="L154" s="680"/>
      <c r="M154" s="680"/>
      <c r="N154" s="680"/>
      <c r="O154" s="680"/>
      <c r="P154" s="680"/>
      <c r="Q154" s="680"/>
      <c r="R154" s="680"/>
      <c r="S154" s="680"/>
      <c r="T154" s="680"/>
      <c r="U154" s="680"/>
      <c r="V154" s="680"/>
      <c r="W154" s="680"/>
      <c r="X154" s="680"/>
      <c r="Y154" s="680"/>
      <c r="Z154" s="680"/>
      <c r="AA154" s="680"/>
      <c r="AB154" s="681"/>
    </row>
    <row r="155" spans="1:28" ht="15.75" customHeight="1" x14ac:dyDescent="0.25">
      <c r="A155" s="665"/>
      <c r="B155" s="668"/>
      <c r="C155" s="682" t="s">
        <v>143</v>
      </c>
      <c r="D155" s="683"/>
      <c r="E155" s="686" t="s">
        <v>198</v>
      </c>
      <c r="F155" s="683"/>
      <c r="G155" s="686" t="s">
        <v>199</v>
      </c>
      <c r="H155" s="688"/>
      <c r="I155" s="675"/>
      <c r="J155" s="676"/>
      <c r="K155" s="690" t="s">
        <v>200</v>
      </c>
      <c r="L155" s="691"/>
      <c r="M155" s="691"/>
      <c r="N155" s="691"/>
      <c r="O155" s="691"/>
      <c r="P155" s="692"/>
      <c r="Q155" s="690" t="s">
        <v>201</v>
      </c>
      <c r="R155" s="691"/>
      <c r="S155" s="691"/>
      <c r="T155" s="691"/>
      <c r="U155" s="691"/>
      <c r="V155" s="692"/>
      <c r="W155" s="690" t="s">
        <v>202</v>
      </c>
      <c r="X155" s="691"/>
      <c r="Y155" s="691"/>
      <c r="Z155" s="691"/>
      <c r="AA155" s="691"/>
      <c r="AB155" s="692"/>
    </row>
    <row r="156" spans="1:28" ht="15.75" x14ac:dyDescent="0.25">
      <c r="A156" s="665"/>
      <c r="B156" s="668"/>
      <c r="C156" s="684"/>
      <c r="D156" s="685"/>
      <c r="E156" s="687"/>
      <c r="F156" s="685"/>
      <c r="G156" s="687"/>
      <c r="H156" s="689"/>
      <c r="I156" s="677"/>
      <c r="J156" s="678"/>
      <c r="K156" s="693" t="s">
        <v>143</v>
      </c>
      <c r="L156" s="694"/>
      <c r="M156" s="695" t="s">
        <v>198</v>
      </c>
      <c r="N156" s="694"/>
      <c r="O156" s="695" t="s">
        <v>199</v>
      </c>
      <c r="P156" s="696"/>
      <c r="Q156" s="693" t="s">
        <v>143</v>
      </c>
      <c r="R156" s="694"/>
      <c r="S156" s="695" t="s">
        <v>198</v>
      </c>
      <c r="T156" s="694"/>
      <c r="U156" s="695" t="s">
        <v>199</v>
      </c>
      <c r="V156" s="696"/>
      <c r="W156" s="693" t="s">
        <v>143</v>
      </c>
      <c r="X156" s="694"/>
      <c r="Y156" s="695" t="s">
        <v>198</v>
      </c>
      <c r="Z156" s="694"/>
      <c r="AA156" s="695" t="s">
        <v>199</v>
      </c>
      <c r="AB156" s="696"/>
    </row>
    <row r="157" spans="1:28" ht="16.5" thickBot="1" x14ac:dyDescent="0.3">
      <c r="A157" s="666"/>
      <c r="B157" s="669"/>
      <c r="C157" s="532" t="s">
        <v>203</v>
      </c>
      <c r="D157" s="290" t="s">
        <v>204</v>
      </c>
      <c r="E157" s="290" t="s">
        <v>203</v>
      </c>
      <c r="F157" s="290" t="s">
        <v>204</v>
      </c>
      <c r="G157" s="290" t="s">
        <v>203</v>
      </c>
      <c r="H157" s="290" t="s">
        <v>204</v>
      </c>
      <c r="I157" s="532" t="s">
        <v>558</v>
      </c>
      <c r="J157" s="534" t="s">
        <v>204</v>
      </c>
      <c r="K157" s="532" t="s">
        <v>203</v>
      </c>
      <c r="L157" s="290" t="s">
        <v>204</v>
      </c>
      <c r="M157" s="290" t="s">
        <v>203</v>
      </c>
      <c r="N157" s="290" t="s">
        <v>204</v>
      </c>
      <c r="O157" s="290" t="s">
        <v>203</v>
      </c>
      <c r="P157" s="290" t="s">
        <v>204</v>
      </c>
      <c r="Q157" s="532" t="s">
        <v>203</v>
      </c>
      <c r="R157" s="290" t="s">
        <v>204</v>
      </c>
      <c r="S157" s="290" t="s">
        <v>203</v>
      </c>
      <c r="T157" s="290" t="s">
        <v>204</v>
      </c>
      <c r="U157" s="290" t="s">
        <v>203</v>
      </c>
      <c r="V157" s="290" t="s">
        <v>204</v>
      </c>
      <c r="W157" s="532" t="s">
        <v>203</v>
      </c>
      <c r="X157" s="290" t="s">
        <v>204</v>
      </c>
      <c r="Y157" s="290" t="s">
        <v>203</v>
      </c>
      <c r="Z157" s="290" t="s">
        <v>204</v>
      </c>
      <c r="AA157" s="290" t="s">
        <v>203</v>
      </c>
      <c r="AB157" s="534" t="s">
        <v>204</v>
      </c>
    </row>
    <row r="158" spans="1:28" ht="16.5" customHeight="1" thickBot="1" x14ac:dyDescent="0.3">
      <c r="A158" s="662" t="s">
        <v>163</v>
      </c>
      <c r="B158" s="663"/>
      <c r="C158" s="291">
        <f t="shared" ref="C158:I158" si="95">SUM(C160:C172)</f>
        <v>2352</v>
      </c>
      <c r="D158" s="292">
        <f t="shared" si="95"/>
        <v>2822400</v>
      </c>
      <c r="E158" s="292">
        <f t="shared" si="95"/>
        <v>657</v>
      </c>
      <c r="F158" s="292">
        <f t="shared" si="95"/>
        <v>543900</v>
      </c>
      <c r="G158" s="292" t="e">
        <f t="shared" si="95"/>
        <v>#DIV/0!</v>
      </c>
      <c r="H158" s="292" t="e">
        <f t="shared" si="95"/>
        <v>#DIV/0!</v>
      </c>
      <c r="I158" s="291">
        <f t="shared" si="95"/>
        <v>0</v>
      </c>
      <c r="J158" s="383">
        <f t="shared" ref="J158:AB158" si="96">SUM(J160:J172)</f>
        <v>7340.2370000000001</v>
      </c>
      <c r="K158" s="291">
        <f t="shared" si="96"/>
        <v>658</v>
      </c>
      <c r="L158" s="292">
        <f t="shared" si="96"/>
        <v>789600</v>
      </c>
      <c r="M158" s="292">
        <f t="shared" si="96"/>
        <v>396</v>
      </c>
      <c r="N158" s="292">
        <f t="shared" si="96"/>
        <v>323460</v>
      </c>
      <c r="O158" s="292" t="e">
        <f t="shared" si="96"/>
        <v>#DIV/0!</v>
      </c>
      <c r="P158" s="293" t="e">
        <f t="shared" si="96"/>
        <v>#DIV/0!</v>
      </c>
      <c r="Q158" s="291">
        <f t="shared" si="96"/>
        <v>1152</v>
      </c>
      <c r="R158" s="292">
        <f t="shared" si="96"/>
        <v>1382400</v>
      </c>
      <c r="S158" s="292">
        <f t="shared" si="96"/>
        <v>138</v>
      </c>
      <c r="T158" s="292">
        <f t="shared" si="96"/>
        <v>110880</v>
      </c>
      <c r="U158" s="292" t="e">
        <f t="shared" si="96"/>
        <v>#DIV/0!</v>
      </c>
      <c r="V158" s="293" t="e">
        <f t="shared" si="96"/>
        <v>#DIV/0!</v>
      </c>
      <c r="W158" s="291">
        <f t="shared" si="96"/>
        <v>542</v>
      </c>
      <c r="X158" s="292">
        <f t="shared" si="96"/>
        <v>650400</v>
      </c>
      <c r="Y158" s="292">
        <f t="shared" si="96"/>
        <v>123</v>
      </c>
      <c r="Z158" s="292">
        <f t="shared" si="96"/>
        <v>109560</v>
      </c>
      <c r="AA158" s="292" t="e">
        <f t="shared" si="96"/>
        <v>#DIV/0!</v>
      </c>
      <c r="AB158" s="293" t="e">
        <f t="shared" si="96"/>
        <v>#DIV/0!</v>
      </c>
    </row>
    <row r="159" spans="1:28" ht="15.75" x14ac:dyDescent="0.25">
      <c r="A159" s="296">
        <v>1</v>
      </c>
      <c r="B159" s="358" t="s">
        <v>127</v>
      </c>
      <c r="C159" s="297"/>
      <c r="D159" s="297"/>
      <c r="E159" s="297"/>
      <c r="F159" s="297"/>
      <c r="G159" s="298"/>
      <c r="H159" s="298"/>
      <c r="I159" s="384"/>
      <c r="J159" s="385"/>
      <c r="K159" s="299"/>
      <c r="L159" s="297"/>
      <c r="M159" s="354"/>
      <c r="N159" s="354"/>
      <c r="O159" s="298"/>
      <c r="P159" s="298"/>
      <c r="Q159" s="299"/>
      <c r="R159" s="297"/>
      <c r="S159" s="354"/>
      <c r="T159" s="354"/>
      <c r="U159" s="298"/>
      <c r="V159" s="298"/>
      <c r="W159" s="300"/>
      <c r="X159" s="297"/>
      <c r="Y159" s="354"/>
      <c r="Z159" s="354"/>
      <c r="AA159" s="298"/>
      <c r="AB159" s="301"/>
    </row>
    <row r="160" spans="1:28" ht="15.75" x14ac:dyDescent="0.25">
      <c r="A160" s="296">
        <v>2</v>
      </c>
      <c r="B160" s="358" t="s">
        <v>205</v>
      </c>
      <c r="C160" s="297">
        <f t="shared" ref="C160:C172" si="97">+K160+Q160+W160</f>
        <v>659</v>
      </c>
      <c r="D160" s="297">
        <f t="shared" ref="D160:D172" si="98">+L160+R160+X160</f>
        <v>790800</v>
      </c>
      <c r="E160" s="297">
        <f>+M160+S160+Y160</f>
        <v>100</v>
      </c>
      <c r="F160" s="297">
        <f t="shared" ref="F160:F172" si="99">+N160+T160+Z160</f>
        <v>72600</v>
      </c>
      <c r="G160" s="298">
        <f>+E160/C160</f>
        <v>0.15174506828528073</v>
      </c>
      <c r="H160" s="298">
        <f>+F160/D160</f>
        <v>9.1805766312594836E-2</v>
      </c>
      <c r="I160" s="384"/>
      <c r="J160" s="385"/>
      <c r="K160" s="299"/>
      <c r="L160" s="297"/>
      <c r="M160" s="354">
        <v>100</v>
      </c>
      <c r="N160" s="354">
        <v>72600</v>
      </c>
      <c r="O160" s="298" t="e">
        <f>+M160/K160</f>
        <v>#DIV/0!</v>
      </c>
      <c r="P160" s="298" t="e">
        <f>+N160/L160</f>
        <v>#DIV/0!</v>
      </c>
      <c r="Q160" s="299">
        <v>659</v>
      </c>
      <c r="R160" s="297">
        <v>790800</v>
      </c>
      <c r="S160" s="354"/>
      <c r="T160" s="354"/>
      <c r="U160" s="298">
        <f>+S160/Q160</f>
        <v>0</v>
      </c>
      <c r="V160" s="298">
        <f>+T160/R160</f>
        <v>0</v>
      </c>
      <c r="W160" s="300"/>
      <c r="X160" s="297"/>
      <c r="Y160" s="354"/>
      <c r="Z160" s="354"/>
      <c r="AA160" s="298" t="e">
        <f>+Y160/W160</f>
        <v>#DIV/0!</v>
      </c>
      <c r="AB160" s="301" t="e">
        <f>+Z160/X160</f>
        <v>#DIV/0!</v>
      </c>
    </row>
    <row r="161" spans="1:28" ht="15.75" x14ac:dyDescent="0.25">
      <c r="A161" s="296">
        <v>3</v>
      </c>
      <c r="B161" s="359" t="s">
        <v>147</v>
      </c>
      <c r="C161" s="304">
        <f t="shared" si="97"/>
        <v>0</v>
      </c>
      <c r="D161" s="304">
        <f t="shared" si="98"/>
        <v>0</v>
      </c>
      <c r="E161" s="304">
        <f>+M161+S161+Y161</f>
        <v>0</v>
      </c>
      <c r="F161" s="304">
        <f t="shared" si="99"/>
        <v>0</v>
      </c>
      <c r="G161" s="305" t="e">
        <f t="shared" ref="G161:G172" si="100">+E161/C161</f>
        <v>#DIV/0!</v>
      </c>
      <c r="H161" s="305" t="e">
        <f t="shared" ref="H161:H172" si="101">+F161/D161</f>
        <v>#DIV/0!</v>
      </c>
      <c r="I161" s="386"/>
      <c r="J161" s="387"/>
      <c r="K161" s="306"/>
      <c r="L161" s="304"/>
      <c r="M161" s="355"/>
      <c r="N161" s="355"/>
      <c r="O161" s="305" t="e">
        <f t="shared" ref="O161:O172" si="102">+M161/K161</f>
        <v>#DIV/0!</v>
      </c>
      <c r="P161" s="305" t="e">
        <f t="shared" ref="P161:P172" si="103">+N161/L161</f>
        <v>#DIV/0!</v>
      </c>
      <c r="Q161" s="306"/>
      <c r="R161" s="304"/>
      <c r="S161" s="355"/>
      <c r="T161" s="355"/>
      <c r="U161" s="305" t="e">
        <f t="shared" ref="U161:U172" si="104">+S161/Q161</f>
        <v>#DIV/0!</v>
      </c>
      <c r="V161" s="305" t="e">
        <f t="shared" ref="V161:V172" si="105">+T161/R161</f>
        <v>#DIV/0!</v>
      </c>
      <c r="W161" s="307"/>
      <c r="X161" s="304"/>
      <c r="Y161" s="355"/>
      <c r="Z161" s="355"/>
      <c r="AA161" s="305" t="e">
        <f t="shared" ref="AA161:AA172" si="106">+Y161/W161</f>
        <v>#DIV/0!</v>
      </c>
      <c r="AB161" s="308" t="e">
        <f t="shared" ref="AB161:AB172" si="107">+Z161/X161</f>
        <v>#DIV/0!</v>
      </c>
    </row>
    <row r="162" spans="1:28" ht="15.75" x14ac:dyDescent="0.25">
      <c r="A162" s="296">
        <v>4</v>
      </c>
      <c r="B162" s="359" t="s">
        <v>148</v>
      </c>
      <c r="C162" s="304">
        <f t="shared" si="97"/>
        <v>142</v>
      </c>
      <c r="D162" s="304">
        <f t="shared" si="98"/>
        <v>170400</v>
      </c>
      <c r="E162" s="304">
        <f>+M162+S162+Y162</f>
        <v>0</v>
      </c>
      <c r="F162" s="304">
        <f t="shared" si="99"/>
        <v>0</v>
      </c>
      <c r="G162" s="305">
        <f t="shared" si="100"/>
        <v>0</v>
      </c>
      <c r="H162" s="305">
        <f t="shared" si="101"/>
        <v>0</v>
      </c>
      <c r="I162" s="386"/>
      <c r="J162" s="387"/>
      <c r="K162" s="306"/>
      <c r="L162" s="304"/>
      <c r="M162" s="355"/>
      <c r="N162" s="355"/>
      <c r="O162" s="305" t="e">
        <f t="shared" si="102"/>
        <v>#DIV/0!</v>
      </c>
      <c r="P162" s="305" t="e">
        <f t="shared" si="103"/>
        <v>#DIV/0!</v>
      </c>
      <c r="Q162" s="306"/>
      <c r="R162" s="304"/>
      <c r="S162" s="355"/>
      <c r="T162" s="355"/>
      <c r="U162" s="305" t="e">
        <f t="shared" si="104"/>
        <v>#DIV/0!</v>
      </c>
      <c r="V162" s="305" t="e">
        <f t="shared" si="105"/>
        <v>#DIV/0!</v>
      </c>
      <c r="W162" s="307">
        <v>142</v>
      </c>
      <c r="X162" s="304">
        <v>170400</v>
      </c>
      <c r="Y162" s="355"/>
      <c r="Z162" s="355"/>
      <c r="AA162" s="305">
        <f t="shared" si="106"/>
        <v>0</v>
      </c>
      <c r="AB162" s="308">
        <f t="shared" si="107"/>
        <v>0</v>
      </c>
    </row>
    <row r="163" spans="1:28" ht="15.75" x14ac:dyDescent="0.25">
      <c r="A163" s="296">
        <v>5</v>
      </c>
      <c r="B163" s="360" t="s">
        <v>206</v>
      </c>
      <c r="C163" s="304">
        <f t="shared" si="97"/>
        <v>199</v>
      </c>
      <c r="D163" s="304">
        <f t="shared" si="98"/>
        <v>238800</v>
      </c>
      <c r="E163" s="304">
        <f>+M163+S163+Y163</f>
        <v>61</v>
      </c>
      <c r="F163" s="304">
        <f t="shared" si="99"/>
        <v>40260</v>
      </c>
      <c r="G163" s="305">
        <f t="shared" si="100"/>
        <v>0.30653266331658291</v>
      </c>
      <c r="H163" s="305">
        <f t="shared" si="101"/>
        <v>0.16859296482412059</v>
      </c>
      <c r="I163" s="386"/>
      <c r="J163" s="450"/>
      <c r="K163" s="306">
        <v>80</v>
      </c>
      <c r="L163" s="304">
        <v>96000</v>
      </c>
      <c r="M163" s="355">
        <v>20</v>
      </c>
      <c r="N163" s="355">
        <v>13200</v>
      </c>
      <c r="O163" s="305">
        <f t="shared" si="102"/>
        <v>0.25</v>
      </c>
      <c r="P163" s="305">
        <f t="shared" si="103"/>
        <v>0.13750000000000001</v>
      </c>
      <c r="Q163" s="306">
        <v>70</v>
      </c>
      <c r="R163" s="304">
        <v>84000</v>
      </c>
      <c r="S163" s="355">
        <v>21</v>
      </c>
      <c r="T163" s="355">
        <v>13860</v>
      </c>
      <c r="U163" s="305">
        <f t="shared" si="104"/>
        <v>0.3</v>
      </c>
      <c r="V163" s="305">
        <f t="shared" si="105"/>
        <v>0.16500000000000001</v>
      </c>
      <c r="W163" s="307">
        <v>49</v>
      </c>
      <c r="X163" s="304">
        <v>58800</v>
      </c>
      <c r="Y163" s="355">
        <v>20</v>
      </c>
      <c r="Z163" s="355">
        <v>13200</v>
      </c>
      <c r="AA163" s="305">
        <f t="shared" si="106"/>
        <v>0.40816326530612246</v>
      </c>
      <c r="AB163" s="308">
        <f t="shared" si="107"/>
        <v>0.22448979591836735</v>
      </c>
    </row>
    <row r="164" spans="1:28" ht="15.75" x14ac:dyDescent="0.25">
      <c r="A164" s="296">
        <v>6</v>
      </c>
      <c r="B164" s="359" t="s">
        <v>174</v>
      </c>
      <c r="C164" s="304">
        <f t="shared" si="97"/>
        <v>360</v>
      </c>
      <c r="D164" s="304">
        <f t="shared" si="98"/>
        <v>432000</v>
      </c>
      <c r="E164" s="304">
        <f>+M164+S164+Y164</f>
        <v>101</v>
      </c>
      <c r="F164" s="304">
        <f t="shared" si="99"/>
        <v>133320</v>
      </c>
      <c r="G164" s="305">
        <f t="shared" si="100"/>
        <v>0.28055555555555556</v>
      </c>
      <c r="H164" s="305">
        <f t="shared" si="101"/>
        <v>0.30861111111111111</v>
      </c>
      <c r="I164" s="386"/>
      <c r="J164" s="387"/>
      <c r="K164" s="306">
        <v>120</v>
      </c>
      <c r="L164" s="304">
        <v>144000</v>
      </c>
      <c r="M164" s="355">
        <v>47</v>
      </c>
      <c r="N164" s="355">
        <v>62040</v>
      </c>
      <c r="O164" s="305">
        <f t="shared" si="102"/>
        <v>0.39166666666666666</v>
      </c>
      <c r="P164" s="305">
        <f t="shared" si="103"/>
        <v>0.43083333333333335</v>
      </c>
      <c r="Q164" s="306">
        <v>120</v>
      </c>
      <c r="R164" s="304">
        <v>144000</v>
      </c>
      <c r="S164" s="355">
        <v>22</v>
      </c>
      <c r="T164" s="355">
        <v>29040</v>
      </c>
      <c r="U164" s="305">
        <f t="shared" si="104"/>
        <v>0.18333333333333332</v>
      </c>
      <c r="V164" s="305">
        <f t="shared" si="105"/>
        <v>0.20166666666666666</v>
      </c>
      <c r="W164" s="307">
        <v>120</v>
      </c>
      <c r="X164" s="304">
        <v>144000</v>
      </c>
      <c r="Y164" s="355">
        <v>32</v>
      </c>
      <c r="Z164" s="355">
        <v>42240</v>
      </c>
      <c r="AA164" s="305">
        <f t="shared" si="106"/>
        <v>0.26666666666666666</v>
      </c>
      <c r="AB164" s="308">
        <f t="shared" si="107"/>
        <v>0.29333333333333333</v>
      </c>
    </row>
    <row r="165" spans="1:28" ht="15.75" x14ac:dyDescent="0.25">
      <c r="A165" s="296">
        <v>7</v>
      </c>
      <c r="B165" s="360" t="s">
        <v>151</v>
      </c>
      <c r="C165" s="304">
        <f t="shared" si="97"/>
        <v>348</v>
      </c>
      <c r="D165" s="304">
        <f t="shared" si="98"/>
        <v>417600</v>
      </c>
      <c r="E165" s="304">
        <f t="shared" ref="E165:E172" si="108">+M165+S165+Y165</f>
        <v>339</v>
      </c>
      <c r="F165" s="304">
        <f t="shared" si="99"/>
        <v>223740</v>
      </c>
      <c r="G165" s="305">
        <f t="shared" si="100"/>
        <v>0.97413793103448276</v>
      </c>
      <c r="H165" s="305">
        <f t="shared" si="101"/>
        <v>0.53577586206896555</v>
      </c>
      <c r="I165" s="386"/>
      <c r="J165" s="387"/>
      <c r="K165" s="306">
        <v>148</v>
      </c>
      <c r="L165" s="304">
        <v>177600</v>
      </c>
      <c r="M165" s="355">
        <v>192</v>
      </c>
      <c r="N165" s="355">
        <v>126720</v>
      </c>
      <c r="O165" s="305">
        <f t="shared" si="102"/>
        <v>1.2972972972972974</v>
      </c>
      <c r="P165" s="305">
        <f t="shared" si="103"/>
        <v>0.71351351351351355</v>
      </c>
      <c r="Q165" s="306">
        <v>120</v>
      </c>
      <c r="R165" s="304">
        <v>144000</v>
      </c>
      <c r="S165" s="355">
        <v>87</v>
      </c>
      <c r="T165" s="355">
        <v>57420</v>
      </c>
      <c r="U165" s="305">
        <f t="shared" si="104"/>
        <v>0.72499999999999998</v>
      </c>
      <c r="V165" s="305">
        <f t="shared" si="105"/>
        <v>0.39874999999999999</v>
      </c>
      <c r="W165" s="307">
        <v>80</v>
      </c>
      <c r="X165" s="304">
        <v>96000</v>
      </c>
      <c r="Y165" s="355">
        <v>60</v>
      </c>
      <c r="Z165" s="355">
        <v>39600</v>
      </c>
      <c r="AA165" s="305">
        <f t="shared" si="106"/>
        <v>0.75</v>
      </c>
      <c r="AB165" s="308">
        <f t="shared" si="107"/>
        <v>0.41249999999999998</v>
      </c>
    </row>
    <row r="166" spans="1:28" ht="15.75" x14ac:dyDescent="0.25">
      <c r="A166" s="296">
        <v>8</v>
      </c>
      <c r="B166" s="360" t="s">
        <v>207</v>
      </c>
      <c r="C166" s="304">
        <f t="shared" si="97"/>
        <v>0</v>
      </c>
      <c r="D166" s="304">
        <f t="shared" si="98"/>
        <v>0</v>
      </c>
      <c r="E166" s="304">
        <f t="shared" si="108"/>
        <v>0</v>
      </c>
      <c r="F166" s="304">
        <f t="shared" si="99"/>
        <v>0</v>
      </c>
      <c r="G166" s="305" t="e">
        <f t="shared" si="100"/>
        <v>#DIV/0!</v>
      </c>
      <c r="H166" s="305" t="e">
        <f t="shared" si="101"/>
        <v>#DIV/0!</v>
      </c>
      <c r="I166" s="386"/>
      <c r="J166" s="387"/>
      <c r="K166" s="306"/>
      <c r="L166" s="304"/>
      <c r="M166" s="355"/>
      <c r="N166" s="355"/>
      <c r="O166" s="305" t="e">
        <f t="shared" si="102"/>
        <v>#DIV/0!</v>
      </c>
      <c r="P166" s="305" t="e">
        <f t="shared" si="103"/>
        <v>#DIV/0!</v>
      </c>
      <c r="Q166" s="306"/>
      <c r="R166" s="304"/>
      <c r="S166" s="355"/>
      <c r="T166" s="355"/>
      <c r="U166" s="305" t="e">
        <f t="shared" si="104"/>
        <v>#DIV/0!</v>
      </c>
      <c r="V166" s="305" t="e">
        <f t="shared" si="105"/>
        <v>#DIV/0!</v>
      </c>
      <c r="W166" s="307"/>
      <c r="X166" s="304"/>
      <c r="Y166" s="355"/>
      <c r="Z166" s="355"/>
      <c r="AA166" s="305" t="e">
        <f t="shared" si="106"/>
        <v>#DIV/0!</v>
      </c>
      <c r="AB166" s="308" t="e">
        <f t="shared" si="107"/>
        <v>#DIV/0!</v>
      </c>
    </row>
    <row r="167" spans="1:28" ht="15.75" x14ac:dyDescent="0.25">
      <c r="A167" s="296">
        <v>9</v>
      </c>
      <c r="B167" s="360" t="s">
        <v>153</v>
      </c>
      <c r="C167" s="304">
        <f t="shared" si="97"/>
        <v>128</v>
      </c>
      <c r="D167" s="304">
        <f t="shared" si="98"/>
        <v>153600</v>
      </c>
      <c r="E167" s="304">
        <f t="shared" si="108"/>
        <v>30</v>
      </c>
      <c r="F167" s="304">
        <f t="shared" si="99"/>
        <v>39600</v>
      </c>
      <c r="G167" s="305">
        <f t="shared" si="100"/>
        <v>0.234375</v>
      </c>
      <c r="H167" s="305">
        <f t="shared" si="101"/>
        <v>0.2578125</v>
      </c>
      <c r="I167" s="386"/>
      <c r="J167" s="387"/>
      <c r="K167" s="306">
        <v>68</v>
      </c>
      <c r="L167" s="304">
        <v>81600</v>
      </c>
      <c r="M167" s="355">
        <v>22</v>
      </c>
      <c r="N167" s="355">
        <v>29040</v>
      </c>
      <c r="O167" s="305">
        <f t="shared" si="102"/>
        <v>0.3235294117647059</v>
      </c>
      <c r="P167" s="305">
        <f t="shared" si="103"/>
        <v>0.35588235294117648</v>
      </c>
      <c r="Q167" s="306">
        <v>36</v>
      </c>
      <c r="R167" s="304">
        <v>43200</v>
      </c>
      <c r="S167" s="355">
        <v>5</v>
      </c>
      <c r="T167" s="355">
        <v>6600</v>
      </c>
      <c r="U167" s="305">
        <f t="shared" si="104"/>
        <v>0.1388888888888889</v>
      </c>
      <c r="V167" s="305">
        <f t="shared" si="105"/>
        <v>0.15277777777777779</v>
      </c>
      <c r="W167" s="307">
        <v>24</v>
      </c>
      <c r="X167" s="304">
        <v>28800</v>
      </c>
      <c r="Y167" s="355">
        <v>3</v>
      </c>
      <c r="Z167" s="355">
        <v>3960</v>
      </c>
      <c r="AA167" s="305">
        <f t="shared" si="106"/>
        <v>0.125</v>
      </c>
      <c r="AB167" s="308">
        <f t="shared" si="107"/>
        <v>0.13750000000000001</v>
      </c>
    </row>
    <row r="168" spans="1:28" ht="47.25" x14ac:dyDescent="0.25">
      <c r="A168" s="296">
        <v>10</v>
      </c>
      <c r="B168" s="360" t="s">
        <v>154</v>
      </c>
      <c r="C168" s="304">
        <f t="shared" si="97"/>
        <v>89</v>
      </c>
      <c r="D168" s="304">
        <f t="shared" si="98"/>
        <v>106800</v>
      </c>
      <c r="E168" s="304">
        <f t="shared" si="108"/>
        <v>3</v>
      </c>
      <c r="F168" s="304">
        <f t="shared" si="99"/>
        <v>3960</v>
      </c>
      <c r="G168" s="305">
        <f t="shared" si="100"/>
        <v>3.3707865168539325E-2</v>
      </c>
      <c r="H168" s="305">
        <f t="shared" si="101"/>
        <v>3.707865168539326E-2</v>
      </c>
      <c r="I168" s="386" t="s">
        <v>622</v>
      </c>
      <c r="J168" s="387">
        <v>7340</v>
      </c>
      <c r="K168" s="306">
        <v>36</v>
      </c>
      <c r="L168" s="304">
        <v>43200</v>
      </c>
      <c r="M168" s="355"/>
      <c r="N168" s="355"/>
      <c r="O168" s="305">
        <f t="shared" si="102"/>
        <v>0</v>
      </c>
      <c r="P168" s="305">
        <f t="shared" si="103"/>
        <v>0</v>
      </c>
      <c r="Q168" s="306">
        <v>28</v>
      </c>
      <c r="R168" s="304">
        <v>33600</v>
      </c>
      <c r="S168" s="355">
        <v>2</v>
      </c>
      <c r="T168" s="355">
        <v>2640</v>
      </c>
      <c r="U168" s="305">
        <f t="shared" si="104"/>
        <v>7.1428571428571425E-2</v>
      </c>
      <c r="V168" s="305">
        <f t="shared" si="105"/>
        <v>7.857142857142857E-2</v>
      </c>
      <c r="W168" s="307">
        <v>25</v>
      </c>
      <c r="X168" s="304">
        <v>30000</v>
      </c>
      <c r="Y168" s="355">
        <v>1</v>
      </c>
      <c r="Z168" s="355">
        <v>1320</v>
      </c>
      <c r="AA168" s="305">
        <f t="shared" si="106"/>
        <v>0.04</v>
      </c>
      <c r="AB168" s="308">
        <f t="shared" si="107"/>
        <v>4.3999999999999997E-2</v>
      </c>
    </row>
    <row r="169" spans="1:28" ht="15.75" x14ac:dyDescent="0.25">
      <c r="A169" s="296">
        <v>11</v>
      </c>
      <c r="B169" s="360" t="s">
        <v>15</v>
      </c>
      <c r="C169" s="304">
        <f t="shared" si="97"/>
        <v>110</v>
      </c>
      <c r="D169" s="304">
        <f t="shared" si="98"/>
        <v>132000</v>
      </c>
      <c r="E169" s="304">
        <f t="shared" si="108"/>
        <v>18</v>
      </c>
      <c r="F169" s="304">
        <f t="shared" si="99"/>
        <v>23760</v>
      </c>
      <c r="G169" s="305">
        <f t="shared" si="100"/>
        <v>0.16363636363636364</v>
      </c>
      <c r="H169" s="305">
        <f t="shared" si="101"/>
        <v>0.18</v>
      </c>
      <c r="I169" s="386" t="s">
        <v>623</v>
      </c>
      <c r="J169" s="543">
        <v>0.23699999999999999</v>
      </c>
      <c r="K169" s="306">
        <v>50</v>
      </c>
      <c r="L169" s="304">
        <v>60000</v>
      </c>
      <c r="M169" s="355">
        <v>10</v>
      </c>
      <c r="N169" s="355">
        <v>13200</v>
      </c>
      <c r="O169" s="305">
        <f t="shared" si="102"/>
        <v>0.2</v>
      </c>
      <c r="P169" s="305">
        <f t="shared" si="103"/>
        <v>0.22</v>
      </c>
      <c r="Q169" s="306">
        <v>30</v>
      </c>
      <c r="R169" s="304">
        <v>36000</v>
      </c>
      <c r="S169" s="355">
        <v>1</v>
      </c>
      <c r="T169" s="355">
        <v>1320</v>
      </c>
      <c r="U169" s="305">
        <f t="shared" si="104"/>
        <v>3.3333333333333333E-2</v>
      </c>
      <c r="V169" s="305">
        <f t="shared" si="105"/>
        <v>3.6666666666666667E-2</v>
      </c>
      <c r="W169" s="307">
        <v>30</v>
      </c>
      <c r="X169" s="304">
        <v>36000</v>
      </c>
      <c r="Y169" s="355">
        <v>7</v>
      </c>
      <c r="Z169" s="355">
        <v>9240</v>
      </c>
      <c r="AA169" s="305">
        <f t="shared" si="106"/>
        <v>0.23333333333333334</v>
      </c>
      <c r="AB169" s="308">
        <f t="shared" si="107"/>
        <v>0.25666666666666665</v>
      </c>
    </row>
    <row r="170" spans="1:28" ht="15.75" x14ac:dyDescent="0.25">
      <c r="A170" s="296">
        <v>12</v>
      </c>
      <c r="B170" s="360" t="s">
        <v>155</v>
      </c>
      <c r="C170" s="304">
        <f t="shared" si="97"/>
        <v>0</v>
      </c>
      <c r="D170" s="304">
        <f t="shared" si="98"/>
        <v>0</v>
      </c>
      <c r="E170" s="304">
        <f t="shared" si="108"/>
        <v>5</v>
      </c>
      <c r="F170" s="304">
        <f t="shared" si="99"/>
        <v>6660</v>
      </c>
      <c r="G170" s="305" t="e">
        <f t="shared" si="100"/>
        <v>#DIV/0!</v>
      </c>
      <c r="H170" s="305" t="e">
        <f t="shared" si="101"/>
        <v>#DIV/0!</v>
      </c>
      <c r="I170" s="386"/>
      <c r="J170" s="450"/>
      <c r="K170" s="306"/>
      <c r="L170" s="304"/>
      <c r="M170" s="355">
        <v>5</v>
      </c>
      <c r="N170" s="355">
        <v>6660</v>
      </c>
      <c r="O170" s="305" t="e">
        <f t="shared" si="102"/>
        <v>#DIV/0!</v>
      </c>
      <c r="P170" s="305" t="e">
        <f t="shared" si="103"/>
        <v>#DIV/0!</v>
      </c>
      <c r="Q170" s="306"/>
      <c r="R170" s="304"/>
      <c r="S170" s="355"/>
      <c r="T170" s="355"/>
      <c r="U170" s="305" t="e">
        <f t="shared" si="104"/>
        <v>#DIV/0!</v>
      </c>
      <c r="V170" s="305" t="e">
        <f t="shared" si="105"/>
        <v>#DIV/0!</v>
      </c>
      <c r="W170" s="307"/>
      <c r="X170" s="304"/>
      <c r="Y170" s="355"/>
      <c r="Z170" s="355"/>
      <c r="AA170" s="305" t="e">
        <f t="shared" si="106"/>
        <v>#DIV/0!</v>
      </c>
      <c r="AB170" s="308" t="e">
        <f t="shared" si="107"/>
        <v>#DIV/0!</v>
      </c>
    </row>
    <row r="171" spans="1:28" ht="15.75" x14ac:dyDescent="0.25">
      <c r="A171" s="296">
        <v>13</v>
      </c>
      <c r="B171" s="359" t="s">
        <v>17</v>
      </c>
      <c r="C171" s="304">
        <f t="shared" si="97"/>
        <v>116</v>
      </c>
      <c r="D171" s="304">
        <f t="shared" si="98"/>
        <v>139200</v>
      </c>
      <c r="E171" s="304">
        <f t="shared" si="108"/>
        <v>0</v>
      </c>
      <c r="F171" s="304">
        <f t="shared" si="99"/>
        <v>0</v>
      </c>
      <c r="G171" s="305">
        <f t="shared" si="100"/>
        <v>0</v>
      </c>
      <c r="H171" s="305">
        <f t="shared" si="101"/>
        <v>0</v>
      </c>
      <c r="I171" s="386"/>
      <c r="J171" s="387"/>
      <c r="K171" s="306">
        <v>50</v>
      </c>
      <c r="L171" s="304">
        <v>60000</v>
      </c>
      <c r="M171" s="355"/>
      <c r="N171" s="355"/>
      <c r="O171" s="305">
        <f t="shared" si="102"/>
        <v>0</v>
      </c>
      <c r="P171" s="305">
        <f t="shared" si="103"/>
        <v>0</v>
      </c>
      <c r="Q171" s="306">
        <v>35</v>
      </c>
      <c r="R171" s="304">
        <v>42000</v>
      </c>
      <c r="S171" s="355"/>
      <c r="T171" s="355"/>
      <c r="U171" s="305">
        <f t="shared" si="104"/>
        <v>0</v>
      </c>
      <c r="V171" s="305">
        <f t="shared" si="105"/>
        <v>0</v>
      </c>
      <c r="W171" s="307">
        <v>31</v>
      </c>
      <c r="X171" s="304">
        <v>37200</v>
      </c>
      <c r="Y171" s="355"/>
      <c r="Z171" s="355"/>
      <c r="AA171" s="305">
        <f t="shared" si="106"/>
        <v>0</v>
      </c>
      <c r="AB171" s="308">
        <f t="shared" si="107"/>
        <v>0</v>
      </c>
    </row>
    <row r="172" spans="1:28" ht="16.5" thickBot="1" x14ac:dyDescent="0.3">
      <c r="A172" s="402">
        <v>14</v>
      </c>
      <c r="B172" s="362" t="s">
        <v>18</v>
      </c>
      <c r="C172" s="309">
        <f t="shared" si="97"/>
        <v>201</v>
      </c>
      <c r="D172" s="309">
        <f t="shared" si="98"/>
        <v>241200</v>
      </c>
      <c r="E172" s="309">
        <f t="shared" si="108"/>
        <v>0</v>
      </c>
      <c r="F172" s="309">
        <f t="shared" si="99"/>
        <v>0</v>
      </c>
      <c r="G172" s="310">
        <f t="shared" si="100"/>
        <v>0</v>
      </c>
      <c r="H172" s="310">
        <f t="shared" si="101"/>
        <v>0</v>
      </c>
      <c r="I172" s="388"/>
      <c r="J172" s="389"/>
      <c r="K172" s="311">
        <v>106</v>
      </c>
      <c r="L172" s="309">
        <v>127200</v>
      </c>
      <c r="M172" s="356"/>
      <c r="N172" s="356"/>
      <c r="O172" s="310">
        <f t="shared" si="102"/>
        <v>0</v>
      </c>
      <c r="P172" s="310">
        <f t="shared" si="103"/>
        <v>0</v>
      </c>
      <c r="Q172" s="311">
        <v>54</v>
      </c>
      <c r="R172" s="309">
        <v>64800</v>
      </c>
      <c r="S172" s="356"/>
      <c r="T172" s="356"/>
      <c r="U172" s="310">
        <f t="shared" si="104"/>
        <v>0</v>
      </c>
      <c r="V172" s="310">
        <f t="shared" si="105"/>
        <v>0</v>
      </c>
      <c r="W172" s="312">
        <v>41</v>
      </c>
      <c r="X172" s="309">
        <v>49200</v>
      </c>
      <c r="Y172" s="356"/>
      <c r="Z172" s="356"/>
      <c r="AA172" s="310">
        <f t="shared" si="106"/>
        <v>0</v>
      </c>
      <c r="AB172" s="313">
        <f t="shared" si="107"/>
        <v>0</v>
      </c>
    </row>
    <row r="173" spans="1:28" x14ac:dyDescent="0.25">
      <c r="B173" s="443"/>
      <c r="C173" s="444"/>
      <c r="D173" s="444"/>
      <c r="E173" s="444"/>
      <c r="F173" s="448"/>
      <c r="G173" s="445"/>
      <c r="H173" s="448"/>
      <c r="I173" s="446"/>
      <c r="M173" s="448"/>
      <c r="N173" s="445"/>
    </row>
    <row r="174" spans="1:28" x14ac:dyDescent="0.25">
      <c r="B174" s="443"/>
      <c r="C174" s="444"/>
      <c r="D174" s="444"/>
      <c r="E174" s="444"/>
      <c r="F174" s="448"/>
      <c r="G174" s="445"/>
      <c r="H174" s="448"/>
      <c r="I174" s="446"/>
      <c r="M174" s="448"/>
      <c r="N174" s="445"/>
    </row>
    <row r="175" spans="1:28" ht="19.5" thickBot="1" x14ac:dyDescent="0.35">
      <c r="B175" s="376" t="s">
        <v>609</v>
      </c>
    </row>
    <row r="176" spans="1:28" ht="16.5" customHeight="1" thickBot="1" x14ac:dyDescent="0.3">
      <c r="A176" s="664" t="s">
        <v>0</v>
      </c>
      <c r="B176" s="667" t="s">
        <v>195</v>
      </c>
      <c r="C176" s="670" t="s">
        <v>196</v>
      </c>
      <c r="D176" s="671"/>
      <c r="E176" s="671"/>
      <c r="F176" s="671"/>
      <c r="G176" s="671"/>
      <c r="H176" s="672"/>
      <c r="I176" s="673" t="s">
        <v>557</v>
      </c>
      <c r="J176" s="674"/>
      <c r="K176" s="679" t="s">
        <v>197</v>
      </c>
      <c r="L176" s="680"/>
      <c r="M176" s="680"/>
      <c r="N176" s="680"/>
      <c r="O176" s="680"/>
      <c r="P176" s="680"/>
      <c r="Q176" s="680"/>
      <c r="R176" s="680"/>
      <c r="S176" s="680"/>
      <c r="T176" s="680"/>
      <c r="U176" s="680"/>
      <c r="V176" s="680"/>
      <c r="W176" s="680"/>
      <c r="X176" s="680"/>
      <c r="Y176" s="680"/>
      <c r="Z176" s="680"/>
      <c r="AA176" s="680"/>
      <c r="AB176" s="681"/>
    </row>
    <row r="177" spans="1:28" ht="15.75" customHeight="1" x14ac:dyDescent="0.25">
      <c r="A177" s="665"/>
      <c r="B177" s="668"/>
      <c r="C177" s="682" t="s">
        <v>143</v>
      </c>
      <c r="D177" s="683"/>
      <c r="E177" s="686" t="s">
        <v>198</v>
      </c>
      <c r="F177" s="683"/>
      <c r="G177" s="686" t="s">
        <v>199</v>
      </c>
      <c r="H177" s="688"/>
      <c r="I177" s="675"/>
      <c r="J177" s="676"/>
      <c r="K177" s="690" t="s">
        <v>200</v>
      </c>
      <c r="L177" s="691"/>
      <c r="M177" s="691"/>
      <c r="N177" s="691"/>
      <c r="O177" s="691"/>
      <c r="P177" s="692"/>
      <c r="Q177" s="690" t="s">
        <v>201</v>
      </c>
      <c r="R177" s="691"/>
      <c r="S177" s="691"/>
      <c r="T177" s="691"/>
      <c r="U177" s="691"/>
      <c r="V177" s="692"/>
      <c r="W177" s="690" t="s">
        <v>202</v>
      </c>
      <c r="X177" s="691"/>
      <c r="Y177" s="691"/>
      <c r="Z177" s="691"/>
      <c r="AA177" s="691"/>
      <c r="AB177" s="692"/>
    </row>
    <row r="178" spans="1:28" ht="15.75" x14ac:dyDescent="0.25">
      <c r="A178" s="665"/>
      <c r="B178" s="668"/>
      <c r="C178" s="684"/>
      <c r="D178" s="685"/>
      <c r="E178" s="687"/>
      <c r="F178" s="685"/>
      <c r="G178" s="687"/>
      <c r="H178" s="689"/>
      <c r="I178" s="677"/>
      <c r="J178" s="678"/>
      <c r="K178" s="693" t="s">
        <v>143</v>
      </c>
      <c r="L178" s="694"/>
      <c r="M178" s="695" t="s">
        <v>198</v>
      </c>
      <c r="N178" s="694"/>
      <c r="O178" s="695" t="s">
        <v>199</v>
      </c>
      <c r="P178" s="696"/>
      <c r="Q178" s="693" t="s">
        <v>143</v>
      </c>
      <c r="R178" s="694"/>
      <c r="S178" s="695" t="s">
        <v>198</v>
      </c>
      <c r="T178" s="694"/>
      <c r="U178" s="695" t="s">
        <v>199</v>
      </c>
      <c r="V178" s="696"/>
      <c r="W178" s="693" t="s">
        <v>143</v>
      </c>
      <c r="X178" s="694"/>
      <c r="Y178" s="695" t="s">
        <v>198</v>
      </c>
      <c r="Z178" s="694"/>
      <c r="AA178" s="695" t="s">
        <v>199</v>
      </c>
      <c r="AB178" s="696"/>
    </row>
    <row r="179" spans="1:28" ht="16.5" thickBot="1" x14ac:dyDescent="0.3">
      <c r="A179" s="666"/>
      <c r="B179" s="669"/>
      <c r="C179" s="532" t="s">
        <v>203</v>
      </c>
      <c r="D179" s="290" t="s">
        <v>204</v>
      </c>
      <c r="E179" s="290" t="s">
        <v>203</v>
      </c>
      <c r="F179" s="290" t="s">
        <v>204</v>
      </c>
      <c r="G179" s="290" t="s">
        <v>203</v>
      </c>
      <c r="H179" s="290" t="s">
        <v>204</v>
      </c>
      <c r="I179" s="532" t="s">
        <v>558</v>
      </c>
      <c r="J179" s="534" t="s">
        <v>204</v>
      </c>
      <c r="K179" s="532" t="s">
        <v>203</v>
      </c>
      <c r="L179" s="290" t="s">
        <v>204</v>
      </c>
      <c r="M179" s="290" t="s">
        <v>203</v>
      </c>
      <c r="N179" s="290" t="s">
        <v>204</v>
      </c>
      <c r="O179" s="290" t="s">
        <v>203</v>
      </c>
      <c r="P179" s="290" t="s">
        <v>204</v>
      </c>
      <c r="Q179" s="532" t="s">
        <v>203</v>
      </c>
      <c r="R179" s="290" t="s">
        <v>204</v>
      </c>
      <c r="S179" s="290" t="s">
        <v>203</v>
      </c>
      <c r="T179" s="290" t="s">
        <v>204</v>
      </c>
      <c r="U179" s="290" t="s">
        <v>203</v>
      </c>
      <c r="V179" s="290" t="s">
        <v>204</v>
      </c>
      <c r="W179" s="532" t="s">
        <v>203</v>
      </c>
      <c r="X179" s="290" t="s">
        <v>204</v>
      </c>
      <c r="Y179" s="290" t="s">
        <v>203</v>
      </c>
      <c r="Z179" s="290" t="s">
        <v>204</v>
      </c>
      <c r="AA179" s="290" t="s">
        <v>203</v>
      </c>
      <c r="AB179" s="534" t="s">
        <v>204</v>
      </c>
    </row>
    <row r="180" spans="1:28" ht="16.5" customHeight="1" thickBot="1" x14ac:dyDescent="0.3">
      <c r="A180" s="662" t="s">
        <v>163</v>
      </c>
      <c r="B180" s="663"/>
      <c r="C180" s="291">
        <f t="shared" ref="C180:I180" si="109">SUM(C182:C194)</f>
        <v>2352</v>
      </c>
      <c r="D180" s="292">
        <f t="shared" si="109"/>
        <v>2822400</v>
      </c>
      <c r="E180" s="292">
        <f t="shared" si="109"/>
        <v>415</v>
      </c>
      <c r="F180" s="292">
        <f t="shared" si="109"/>
        <v>389340</v>
      </c>
      <c r="G180" s="292" t="e">
        <f t="shared" si="109"/>
        <v>#DIV/0!</v>
      </c>
      <c r="H180" s="292" t="e">
        <f t="shared" si="109"/>
        <v>#DIV/0!</v>
      </c>
      <c r="I180" s="291">
        <f t="shared" si="109"/>
        <v>0</v>
      </c>
      <c r="J180" s="383">
        <f t="shared" ref="J180:AB180" si="110">SUM(J182:J194)</f>
        <v>29040.58</v>
      </c>
      <c r="K180" s="291">
        <f t="shared" si="110"/>
        <v>658</v>
      </c>
      <c r="L180" s="292">
        <f t="shared" si="110"/>
        <v>789600</v>
      </c>
      <c r="M180" s="292">
        <f t="shared" si="110"/>
        <v>279</v>
      </c>
      <c r="N180" s="292">
        <f t="shared" si="110"/>
        <v>226980</v>
      </c>
      <c r="O180" s="292" t="e">
        <f t="shared" si="110"/>
        <v>#DIV/0!</v>
      </c>
      <c r="P180" s="293" t="e">
        <f t="shared" si="110"/>
        <v>#DIV/0!</v>
      </c>
      <c r="Q180" s="291">
        <f t="shared" si="110"/>
        <v>1152</v>
      </c>
      <c r="R180" s="292">
        <f t="shared" si="110"/>
        <v>1382400</v>
      </c>
      <c r="S180" s="292">
        <f t="shared" si="110"/>
        <v>52</v>
      </c>
      <c r="T180" s="292">
        <f t="shared" si="110"/>
        <v>60060</v>
      </c>
      <c r="U180" s="292" t="e">
        <f t="shared" si="110"/>
        <v>#DIV/0!</v>
      </c>
      <c r="V180" s="293" t="e">
        <f t="shared" si="110"/>
        <v>#DIV/0!</v>
      </c>
      <c r="W180" s="291">
        <f t="shared" si="110"/>
        <v>542</v>
      </c>
      <c r="X180" s="292">
        <f t="shared" si="110"/>
        <v>650400</v>
      </c>
      <c r="Y180" s="292">
        <f t="shared" si="110"/>
        <v>84</v>
      </c>
      <c r="Z180" s="292">
        <f t="shared" si="110"/>
        <v>102300</v>
      </c>
      <c r="AA180" s="292" t="e">
        <f t="shared" si="110"/>
        <v>#DIV/0!</v>
      </c>
      <c r="AB180" s="293" t="e">
        <f t="shared" si="110"/>
        <v>#DIV/0!</v>
      </c>
    </row>
    <row r="181" spans="1:28" ht="15.75" x14ac:dyDescent="0.25">
      <c r="A181" s="296">
        <v>1</v>
      </c>
      <c r="B181" s="358" t="s">
        <v>127</v>
      </c>
      <c r="C181" s="297"/>
      <c r="D181" s="297"/>
      <c r="E181" s="297"/>
      <c r="F181" s="297"/>
      <c r="G181" s="298"/>
      <c r="H181" s="298"/>
      <c r="I181" s="384"/>
      <c r="J181" s="385"/>
      <c r="K181" s="299"/>
      <c r="L181" s="297"/>
      <c r="M181" s="354"/>
      <c r="N181" s="354"/>
      <c r="O181" s="298"/>
      <c r="P181" s="298"/>
      <c r="Q181" s="299"/>
      <c r="R181" s="297"/>
      <c r="S181" s="354"/>
      <c r="T181" s="354"/>
      <c r="U181" s="298"/>
      <c r="V181" s="298"/>
      <c r="W181" s="300"/>
      <c r="X181" s="297"/>
      <c r="Y181" s="354"/>
      <c r="Z181" s="354"/>
      <c r="AA181" s="298"/>
      <c r="AB181" s="301"/>
    </row>
    <row r="182" spans="1:28" ht="15.75" x14ac:dyDescent="0.25">
      <c r="A182" s="296">
        <v>2</v>
      </c>
      <c r="B182" s="358" t="s">
        <v>205</v>
      </c>
      <c r="C182" s="297">
        <f t="shared" ref="C182:C194" si="111">+K182+Q182+W182</f>
        <v>659</v>
      </c>
      <c r="D182" s="297">
        <f t="shared" ref="D182:D194" si="112">+L182+R182+X182</f>
        <v>790800</v>
      </c>
      <c r="E182" s="297">
        <f>+M182+S182+Y182</f>
        <v>201</v>
      </c>
      <c r="F182" s="297">
        <f t="shared" ref="F182:F194" si="113">+N182+T182+Z182</f>
        <v>132600</v>
      </c>
      <c r="G182" s="298">
        <f>+E182/C182</f>
        <v>0.30500758725341426</v>
      </c>
      <c r="H182" s="298">
        <f>+F182/D182</f>
        <v>0.16767830045523521</v>
      </c>
      <c r="I182" s="384"/>
      <c r="J182" s="385"/>
      <c r="K182" s="299"/>
      <c r="L182" s="297"/>
      <c r="M182" s="354">
        <v>201</v>
      </c>
      <c r="N182" s="354">
        <v>132600</v>
      </c>
      <c r="O182" s="298" t="e">
        <f>+M182/K182</f>
        <v>#DIV/0!</v>
      </c>
      <c r="P182" s="298" t="e">
        <f>+N182/L182</f>
        <v>#DIV/0!</v>
      </c>
      <c r="Q182" s="299">
        <v>659</v>
      </c>
      <c r="R182" s="297">
        <v>790800</v>
      </c>
      <c r="S182" s="354"/>
      <c r="T182" s="354"/>
      <c r="U182" s="298">
        <f>+S182/Q182</f>
        <v>0</v>
      </c>
      <c r="V182" s="298">
        <f>+T182/R182</f>
        <v>0</v>
      </c>
      <c r="W182" s="300"/>
      <c r="X182" s="297"/>
      <c r="Y182" s="354"/>
      <c r="Z182" s="354"/>
      <c r="AA182" s="298" t="e">
        <f>+Y182/W182</f>
        <v>#DIV/0!</v>
      </c>
      <c r="AB182" s="301" t="e">
        <f>+Z182/X182</f>
        <v>#DIV/0!</v>
      </c>
    </row>
    <row r="183" spans="1:28" ht="15.75" x14ac:dyDescent="0.25">
      <c r="A183" s="296">
        <v>3</v>
      </c>
      <c r="B183" s="359" t="s">
        <v>147</v>
      </c>
      <c r="C183" s="304">
        <f t="shared" si="111"/>
        <v>0</v>
      </c>
      <c r="D183" s="304">
        <f t="shared" si="112"/>
        <v>0</v>
      </c>
      <c r="E183" s="304">
        <f>+M183+S183+Y183</f>
        <v>0</v>
      </c>
      <c r="F183" s="304">
        <f t="shared" si="113"/>
        <v>0</v>
      </c>
      <c r="G183" s="305" t="e">
        <f t="shared" ref="G183:G194" si="114">+E183/C183</f>
        <v>#DIV/0!</v>
      </c>
      <c r="H183" s="305" t="e">
        <f t="shared" ref="H183:H194" si="115">+F183/D183</f>
        <v>#DIV/0!</v>
      </c>
      <c r="I183" s="386"/>
      <c r="J183" s="387"/>
      <c r="K183" s="306"/>
      <c r="L183" s="304"/>
      <c r="M183" s="355"/>
      <c r="N183" s="355"/>
      <c r="O183" s="305" t="e">
        <f t="shared" ref="O183:O194" si="116">+M183/K183</f>
        <v>#DIV/0!</v>
      </c>
      <c r="P183" s="305" t="e">
        <f t="shared" ref="P183:P194" si="117">+N183/L183</f>
        <v>#DIV/0!</v>
      </c>
      <c r="Q183" s="306"/>
      <c r="R183" s="304"/>
      <c r="S183" s="355"/>
      <c r="T183" s="355"/>
      <c r="U183" s="305" t="e">
        <f t="shared" ref="U183:U194" si="118">+S183/Q183</f>
        <v>#DIV/0!</v>
      </c>
      <c r="V183" s="305" t="e">
        <f t="shared" ref="V183:V194" si="119">+T183/R183</f>
        <v>#DIV/0!</v>
      </c>
      <c r="W183" s="307"/>
      <c r="X183" s="304"/>
      <c r="Y183" s="355"/>
      <c r="Z183" s="355"/>
      <c r="AA183" s="305" t="e">
        <f t="shared" ref="AA183:AA194" si="120">+Y183/W183</f>
        <v>#DIV/0!</v>
      </c>
      <c r="AB183" s="308" t="e">
        <f t="shared" ref="AB183:AB194" si="121">+Z183/X183</f>
        <v>#DIV/0!</v>
      </c>
    </row>
    <row r="184" spans="1:28" ht="15.75" x14ac:dyDescent="0.25">
      <c r="A184" s="296">
        <v>4</v>
      </c>
      <c r="B184" s="359" t="s">
        <v>148</v>
      </c>
      <c r="C184" s="304">
        <f t="shared" si="111"/>
        <v>142</v>
      </c>
      <c r="D184" s="304">
        <f t="shared" si="112"/>
        <v>170400</v>
      </c>
      <c r="E184" s="304">
        <f>+M184+S184+Y184</f>
        <v>0</v>
      </c>
      <c r="F184" s="304">
        <f t="shared" si="113"/>
        <v>0</v>
      </c>
      <c r="G184" s="305">
        <f t="shared" si="114"/>
        <v>0</v>
      </c>
      <c r="H184" s="305">
        <f t="shared" si="115"/>
        <v>0</v>
      </c>
      <c r="I184" s="386"/>
      <c r="J184" s="387"/>
      <c r="K184" s="306"/>
      <c r="L184" s="304"/>
      <c r="M184" s="355"/>
      <c r="N184" s="355"/>
      <c r="O184" s="305" t="e">
        <f t="shared" si="116"/>
        <v>#DIV/0!</v>
      </c>
      <c r="P184" s="305" t="e">
        <f t="shared" si="117"/>
        <v>#DIV/0!</v>
      </c>
      <c r="Q184" s="306"/>
      <c r="R184" s="304"/>
      <c r="S184" s="355"/>
      <c r="T184" s="355"/>
      <c r="U184" s="305" t="e">
        <f t="shared" si="118"/>
        <v>#DIV/0!</v>
      </c>
      <c r="V184" s="305" t="e">
        <f t="shared" si="119"/>
        <v>#DIV/0!</v>
      </c>
      <c r="W184" s="307">
        <v>142</v>
      </c>
      <c r="X184" s="304">
        <v>170400</v>
      </c>
      <c r="Y184" s="355"/>
      <c r="Z184" s="355"/>
      <c r="AA184" s="305">
        <f t="shared" si="120"/>
        <v>0</v>
      </c>
      <c r="AB184" s="308">
        <f t="shared" si="121"/>
        <v>0</v>
      </c>
    </row>
    <row r="185" spans="1:28" ht="15.75" x14ac:dyDescent="0.25">
      <c r="A185" s="296">
        <v>5</v>
      </c>
      <c r="B185" s="360" t="s">
        <v>206</v>
      </c>
      <c r="C185" s="304">
        <f t="shared" si="111"/>
        <v>199</v>
      </c>
      <c r="D185" s="304">
        <f t="shared" si="112"/>
        <v>238800</v>
      </c>
      <c r="E185" s="304">
        <f>+M185+S185+Y185</f>
        <v>39</v>
      </c>
      <c r="F185" s="304">
        <f t="shared" si="113"/>
        <v>25740</v>
      </c>
      <c r="G185" s="305">
        <f t="shared" si="114"/>
        <v>0.19597989949748743</v>
      </c>
      <c r="H185" s="305">
        <f t="shared" si="115"/>
        <v>0.10778894472361809</v>
      </c>
      <c r="I185" s="386"/>
      <c r="J185" s="450"/>
      <c r="K185" s="306">
        <v>80</v>
      </c>
      <c r="L185" s="304">
        <v>96000</v>
      </c>
      <c r="M185" s="355">
        <v>13</v>
      </c>
      <c r="N185" s="355">
        <v>8580</v>
      </c>
      <c r="O185" s="305">
        <f t="shared" si="116"/>
        <v>0.16250000000000001</v>
      </c>
      <c r="P185" s="305">
        <f t="shared" si="117"/>
        <v>8.9374999999999996E-2</v>
      </c>
      <c r="Q185" s="306">
        <v>70</v>
      </c>
      <c r="R185" s="304">
        <v>84000</v>
      </c>
      <c r="S185" s="355">
        <v>13</v>
      </c>
      <c r="T185" s="355">
        <v>8580</v>
      </c>
      <c r="U185" s="305">
        <f t="shared" si="118"/>
        <v>0.18571428571428572</v>
      </c>
      <c r="V185" s="305">
        <f t="shared" si="119"/>
        <v>0.10214285714285715</v>
      </c>
      <c r="W185" s="307">
        <v>49</v>
      </c>
      <c r="X185" s="304">
        <v>58800</v>
      </c>
      <c r="Y185" s="355">
        <v>13</v>
      </c>
      <c r="Z185" s="355">
        <v>8580</v>
      </c>
      <c r="AA185" s="305">
        <f t="shared" si="120"/>
        <v>0.26530612244897961</v>
      </c>
      <c r="AB185" s="308">
        <f t="shared" si="121"/>
        <v>0.14591836734693878</v>
      </c>
    </row>
    <row r="186" spans="1:28" ht="15.75" x14ac:dyDescent="0.25">
      <c r="A186" s="296">
        <v>6</v>
      </c>
      <c r="B186" s="359" t="s">
        <v>174</v>
      </c>
      <c r="C186" s="304">
        <f t="shared" si="111"/>
        <v>360</v>
      </c>
      <c r="D186" s="304">
        <f t="shared" si="112"/>
        <v>432000</v>
      </c>
      <c r="E186" s="304">
        <f>+M186+S186+Y186</f>
        <v>101</v>
      </c>
      <c r="F186" s="304">
        <f t="shared" si="113"/>
        <v>133320</v>
      </c>
      <c r="G186" s="305">
        <f t="shared" si="114"/>
        <v>0.28055555555555556</v>
      </c>
      <c r="H186" s="305">
        <f t="shared" si="115"/>
        <v>0.30861111111111111</v>
      </c>
      <c r="I186" s="386"/>
      <c r="J186" s="387"/>
      <c r="K186" s="306">
        <v>120</v>
      </c>
      <c r="L186" s="304">
        <v>144000</v>
      </c>
      <c r="M186" s="355">
        <v>41</v>
      </c>
      <c r="N186" s="355">
        <v>54120</v>
      </c>
      <c r="O186" s="305">
        <f t="shared" si="116"/>
        <v>0.34166666666666667</v>
      </c>
      <c r="P186" s="305">
        <f t="shared" si="117"/>
        <v>0.37583333333333335</v>
      </c>
      <c r="Q186" s="306">
        <v>120</v>
      </c>
      <c r="R186" s="304">
        <v>144000</v>
      </c>
      <c r="S186" s="355">
        <v>26</v>
      </c>
      <c r="T186" s="355">
        <v>34320</v>
      </c>
      <c r="U186" s="305">
        <f t="shared" si="118"/>
        <v>0.21666666666666667</v>
      </c>
      <c r="V186" s="305">
        <f t="shared" si="119"/>
        <v>0.23833333333333334</v>
      </c>
      <c r="W186" s="307">
        <v>120</v>
      </c>
      <c r="X186" s="304">
        <v>144000</v>
      </c>
      <c r="Y186" s="355">
        <v>34</v>
      </c>
      <c r="Z186" s="355">
        <v>44880</v>
      </c>
      <c r="AA186" s="305">
        <f t="shared" si="120"/>
        <v>0.28333333333333333</v>
      </c>
      <c r="AB186" s="308">
        <f t="shared" si="121"/>
        <v>0.31166666666666665</v>
      </c>
    </row>
    <row r="187" spans="1:28" ht="15.75" x14ac:dyDescent="0.25">
      <c r="A187" s="296">
        <v>7</v>
      </c>
      <c r="B187" s="360" t="s">
        <v>151</v>
      </c>
      <c r="C187" s="304">
        <f t="shared" si="111"/>
        <v>348</v>
      </c>
      <c r="D187" s="304">
        <f t="shared" si="112"/>
        <v>417600</v>
      </c>
      <c r="E187" s="304">
        <f t="shared" ref="E187:E194" si="122">+M187+S187+Y187</f>
        <v>0</v>
      </c>
      <c r="F187" s="304">
        <f t="shared" si="113"/>
        <v>0</v>
      </c>
      <c r="G187" s="305">
        <f t="shared" si="114"/>
        <v>0</v>
      </c>
      <c r="H187" s="305">
        <f t="shared" si="115"/>
        <v>0</v>
      </c>
      <c r="I187" s="386"/>
      <c r="J187" s="387"/>
      <c r="K187" s="306">
        <v>148</v>
      </c>
      <c r="L187" s="304">
        <v>177600</v>
      </c>
      <c r="M187" s="355"/>
      <c r="N187" s="355"/>
      <c r="O187" s="305">
        <f t="shared" si="116"/>
        <v>0</v>
      </c>
      <c r="P187" s="305">
        <f t="shared" si="117"/>
        <v>0</v>
      </c>
      <c r="Q187" s="306">
        <v>120</v>
      </c>
      <c r="R187" s="304">
        <v>144000</v>
      </c>
      <c r="S187" s="355"/>
      <c r="T187" s="355"/>
      <c r="U187" s="305">
        <f t="shared" si="118"/>
        <v>0</v>
      </c>
      <c r="V187" s="305">
        <f t="shared" si="119"/>
        <v>0</v>
      </c>
      <c r="W187" s="307">
        <v>80</v>
      </c>
      <c r="X187" s="304">
        <v>96000</v>
      </c>
      <c r="Y187" s="355"/>
      <c r="Z187" s="355"/>
      <c r="AA187" s="305">
        <f t="shared" si="120"/>
        <v>0</v>
      </c>
      <c r="AB187" s="308">
        <f t="shared" si="121"/>
        <v>0</v>
      </c>
    </row>
    <row r="188" spans="1:28" ht="15.75" x14ac:dyDescent="0.25">
      <c r="A188" s="296">
        <v>8</v>
      </c>
      <c r="B188" s="360" t="s">
        <v>207</v>
      </c>
      <c r="C188" s="304">
        <f t="shared" si="111"/>
        <v>0</v>
      </c>
      <c r="D188" s="304">
        <f t="shared" si="112"/>
        <v>0</v>
      </c>
      <c r="E188" s="304">
        <f t="shared" si="122"/>
        <v>0</v>
      </c>
      <c r="F188" s="304">
        <f t="shared" si="113"/>
        <v>0</v>
      </c>
      <c r="G188" s="305" t="e">
        <f t="shared" si="114"/>
        <v>#DIV/0!</v>
      </c>
      <c r="H188" s="305" t="e">
        <f t="shared" si="115"/>
        <v>#DIV/0!</v>
      </c>
      <c r="I188" s="386"/>
      <c r="J188" s="387"/>
      <c r="K188" s="306"/>
      <c r="L188" s="304"/>
      <c r="M188" s="355"/>
      <c r="N188" s="355"/>
      <c r="O188" s="305" t="e">
        <f t="shared" si="116"/>
        <v>#DIV/0!</v>
      </c>
      <c r="P188" s="305" t="e">
        <f t="shared" si="117"/>
        <v>#DIV/0!</v>
      </c>
      <c r="Q188" s="306"/>
      <c r="R188" s="304"/>
      <c r="S188" s="355"/>
      <c r="T188" s="355"/>
      <c r="U188" s="305" t="e">
        <f t="shared" si="118"/>
        <v>#DIV/0!</v>
      </c>
      <c r="V188" s="305" t="e">
        <f t="shared" si="119"/>
        <v>#DIV/0!</v>
      </c>
      <c r="W188" s="307"/>
      <c r="X188" s="304"/>
      <c r="Y188" s="355"/>
      <c r="Z188" s="355"/>
      <c r="AA188" s="305" t="e">
        <f t="shared" si="120"/>
        <v>#DIV/0!</v>
      </c>
      <c r="AB188" s="308" t="e">
        <f t="shared" si="121"/>
        <v>#DIV/0!</v>
      </c>
    </row>
    <row r="189" spans="1:28" ht="47.25" x14ac:dyDescent="0.25">
      <c r="A189" s="296">
        <v>9</v>
      </c>
      <c r="B189" s="360" t="s">
        <v>153</v>
      </c>
      <c r="C189" s="304">
        <f t="shared" si="111"/>
        <v>128</v>
      </c>
      <c r="D189" s="304">
        <f t="shared" si="112"/>
        <v>153600</v>
      </c>
      <c r="E189" s="304">
        <f t="shared" si="122"/>
        <v>30</v>
      </c>
      <c r="F189" s="304">
        <f t="shared" si="113"/>
        <v>39600</v>
      </c>
      <c r="G189" s="305">
        <f t="shared" si="114"/>
        <v>0.234375</v>
      </c>
      <c r="H189" s="305">
        <f t="shared" si="115"/>
        <v>0.2578125</v>
      </c>
      <c r="I189" s="386" t="s">
        <v>624</v>
      </c>
      <c r="J189" s="387">
        <v>19140</v>
      </c>
      <c r="K189" s="306">
        <v>68</v>
      </c>
      <c r="L189" s="304">
        <v>81600</v>
      </c>
      <c r="M189" s="355"/>
      <c r="N189" s="355"/>
      <c r="O189" s="305">
        <f t="shared" si="116"/>
        <v>0</v>
      </c>
      <c r="P189" s="305">
        <f t="shared" si="117"/>
        <v>0</v>
      </c>
      <c r="Q189" s="306">
        <v>36</v>
      </c>
      <c r="R189" s="304">
        <v>43200</v>
      </c>
      <c r="S189" s="355">
        <v>2</v>
      </c>
      <c r="T189" s="355">
        <v>2640</v>
      </c>
      <c r="U189" s="305">
        <f t="shared" si="118"/>
        <v>5.5555555555555552E-2</v>
      </c>
      <c r="V189" s="305">
        <f t="shared" si="119"/>
        <v>6.1111111111111109E-2</v>
      </c>
      <c r="W189" s="307">
        <v>24</v>
      </c>
      <c r="X189" s="304">
        <v>28800</v>
      </c>
      <c r="Y189" s="355">
        <v>28</v>
      </c>
      <c r="Z189" s="355">
        <v>36960</v>
      </c>
      <c r="AA189" s="305">
        <f t="shared" si="120"/>
        <v>1.1666666666666667</v>
      </c>
      <c r="AB189" s="308">
        <f t="shared" si="121"/>
        <v>1.2833333333333334</v>
      </c>
    </row>
    <row r="190" spans="1:28" ht="47.25" x14ac:dyDescent="0.25">
      <c r="A190" s="296">
        <v>10</v>
      </c>
      <c r="B190" s="360" t="s">
        <v>154</v>
      </c>
      <c r="C190" s="304">
        <f t="shared" si="111"/>
        <v>89</v>
      </c>
      <c r="D190" s="304">
        <f t="shared" si="112"/>
        <v>106800</v>
      </c>
      <c r="E190" s="304">
        <f t="shared" si="122"/>
        <v>0</v>
      </c>
      <c r="F190" s="304">
        <f t="shared" si="113"/>
        <v>0</v>
      </c>
      <c r="G190" s="305">
        <f t="shared" si="114"/>
        <v>0</v>
      </c>
      <c r="H190" s="305">
        <f t="shared" si="115"/>
        <v>0</v>
      </c>
      <c r="I190" s="386" t="s">
        <v>625</v>
      </c>
      <c r="J190" s="387">
        <v>9900</v>
      </c>
      <c r="K190" s="306">
        <v>36</v>
      </c>
      <c r="L190" s="304">
        <v>43200</v>
      </c>
      <c r="M190" s="355"/>
      <c r="N190" s="355"/>
      <c r="O190" s="305">
        <f t="shared" si="116"/>
        <v>0</v>
      </c>
      <c r="P190" s="305">
        <f t="shared" si="117"/>
        <v>0</v>
      </c>
      <c r="Q190" s="306">
        <v>28</v>
      </c>
      <c r="R190" s="304">
        <v>33600</v>
      </c>
      <c r="S190" s="355"/>
      <c r="T190" s="355"/>
      <c r="U190" s="305">
        <f t="shared" si="118"/>
        <v>0</v>
      </c>
      <c r="V190" s="305">
        <f t="shared" si="119"/>
        <v>0</v>
      </c>
      <c r="W190" s="307">
        <v>25</v>
      </c>
      <c r="X190" s="304">
        <v>30000</v>
      </c>
      <c r="Y190" s="355"/>
      <c r="Z190" s="355"/>
      <c r="AA190" s="305">
        <f t="shared" si="120"/>
        <v>0</v>
      </c>
      <c r="AB190" s="308">
        <f t="shared" si="121"/>
        <v>0</v>
      </c>
    </row>
    <row r="191" spans="1:28" ht="15.75" x14ac:dyDescent="0.25">
      <c r="A191" s="296">
        <v>11</v>
      </c>
      <c r="B191" s="360" t="s">
        <v>15</v>
      </c>
      <c r="C191" s="304">
        <f t="shared" si="111"/>
        <v>110</v>
      </c>
      <c r="D191" s="304">
        <f t="shared" si="112"/>
        <v>132000</v>
      </c>
      <c r="E191" s="304">
        <f t="shared" si="122"/>
        <v>44</v>
      </c>
      <c r="F191" s="304">
        <f t="shared" si="113"/>
        <v>58080</v>
      </c>
      <c r="G191" s="305">
        <f t="shared" si="114"/>
        <v>0.4</v>
      </c>
      <c r="H191" s="305">
        <f t="shared" si="115"/>
        <v>0.44</v>
      </c>
      <c r="I191" s="386" t="s">
        <v>623</v>
      </c>
      <c r="J191" s="543">
        <v>0.57999999999999996</v>
      </c>
      <c r="K191" s="306">
        <v>50</v>
      </c>
      <c r="L191" s="304">
        <v>60000</v>
      </c>
      <c r="M191" s="355">
        <v>24</v>
      </c>
      <c r="N191" s="355">
        <v>31680</v>
      </c>
      <c r="O191" s="305">
        <f t="shared" si="116"/>
        <v>0.48</v>
      </c>
      <c r="P191" s="305">
        <f t="shared" si="117"/>
        <v>0.52800000000000002</v>
      </c>
      <c r="Q191" s="306">
        <v>30</v>
      </c>
      <c r="R191" s="304">
        <v>36000</v>
      </c>
      <c r="S191" s="355">
        <v>11</v>
      </c>
      <c r="T191" s="355">
        <v>14520</v>
      </c>
      <c r="U191" s="305">
        <f t="shared" si="118"/>
        <v>0.36666666666666664</v>
      </c>
      <c r="V191" s="305">
        <f t="shared" si="119"/>
        <v>0.40333333333333332</v>
      </c>
      <c r="W191" s="307">
        <v>30</v>
      </c>
      <c r="X191" s="304">
        <v>36000</v>
      </c>
      <c r="Y191" s="355">
        <v>9</v>
      </c>
      <c r="Z191" s="355">
        <v>11880</v>
      </c>
      <c r="AA191" s="305">
        <f t="shared" si="120"/>
        <v>0.3</v>
      </c>
      <c r="AB191" s="308">
        <f t="shared" si="121"/>
        <v>0.33</v>
      </c>
    </row>
    <row r="192" spans="1:28" ht="15.75" x14ac:dyDescent="0.25">
      <c r="A192" s="296">
        <v>12</v>
      </c>
      <c r="B192" s="360" t="s">
        <v>155</v>
      </c>
      <c r="C192" s="304">
        <f t="shared" si="111"/>
        <v>0</v>
      </c>
      <c r="D192" s="304">
        <f t="shared" si="112"/>
        <v>0</v>
      </c>
      <c r="E192" s="304">
        <f t="shared" si="122"/>
        <v>0</v>
      </c>
      <c r="F192" s="304">
        <f t="shared" si="113"/>
        <v>0</v>
      </c>
      <c r="G192" s="305" t="e">
        <f t="shared" si="114"/>
        <v>#DIV/0!</v>
      </c>
      <c r="H192" s="305" t="e">
        <f t="shared" si="115"/>
        <v>#DIV/0!</v>
      </c>
      <c r="I192" s="386"/>
      <c r="J192" s="450"/>
      <c r="K192" s="306"/>
      <c r="L192" s="304"/>
      <c r="M192" s="355"/>
      <c r="N192" s="355"/>
      <c r="O192" s="305" t="e">
        <f t="shared" si="116"/>
        <v>#DIV/0!</v>
      </c>
      <c r="P192" s="305" t="e">
        <f t="shared" si="117"/>
        <v>#DIV/0!</v>
      </c>
      <c r="Q192" s="306"/>
      <c r="R192" s="304"/>
      <c r="S192" s="355"/>
      <c r="T192" s="355"/>
      <c r="U192" s="305" t="e">
        <f t="shared" si="118"/>
        <v>#DIV/0!</v>
      </c>
      <c r="V192" s="305" t="e">
        <f t="shared" si="119"/>
        <v>#DIV/0!</v>
      </c>
      <c r="W192" s="307"/>
      <c r="X192" s="304"/>
      <c r="Y192" s="355"/>
      <c r="Z192" s="355"/>
      <c r="AA192" s="305" t="e">
        <f t="shared" si="120"/>
        <v>#DIV/0!</v>
      </c>
      <c r="AB192" s="308" t="e">
        <f t="shared" si="121"/>
        <v>#DIV/0!</v>
      </c>
    </row>
    <row r="193" spans="1:28" ht="15.75" x14ac:dyDescent="0.25">
      <c r="A193" s="296">
        <v>13</v>
      </c>
      <c r="B193" s="359" t="s">
        <v>17</v>
      </c>
      <c r="C193" s="304">
        <f t="shared" si="111"/>
        <v>116</v>
      </c>
      <c r="D193" s="304">
        <f t="shared" si="112"/>
        <v>139200</v>
      </c>
      <c r="E193" s="304">
        <f t="shared" si="122"/>
        <v>0</v>
      </c>
      <c r="F193" s="304">
        <f t="shared" si="113"/>
        <v>0</v>
      </c>
      <c r="G193" s="305">
        <f t="shared" si="114"/>
        <v>0</v>
      </c>
      <c r="H193" s="305">
        <f t="shared" si="115"/>
        <v>0</v>
      </c>
      <c r="I193" s="386"/>
      <c r="J193" s="387"/>
      <c r="K193" s="306">
        <v>50</v>
      </c>
      <c r="L193" s="304">
        <v>60000</v>
      </c>
      <c r="M193" s="355"/>
      <c r="N193" s="355"/>
      <c r="O193" s="305">
        <f t="shared" si="116"/>
        <v>0</v>
      </c>
      <c r="P193" s="305">
        <f t="shared" si="117"/>
        <v>0</v>
      </c>
      <c r="Q193" s="306">
        <v>35</v>
      </c>
      <c r="R193" s="304">
        <v>42000</v>
      </c>
      <c r="S193" s="355"/>
      <c r="T193" s="355"/>
      <c r="U193" s="305">
        <f t="shared" si="118"/>
        <v>0</v>
      </c>
      <c r="V193" s="305">
        <f t="shared" si="119"/>
        <v>0</v>
      </c>
      <c r="W193" s="307">
        <v>31</v>
      </c>
      <c r="X193" s="304">
        <v>37200</v>
      </c>
      <c r="Y193" s="355"/>
      <c r="Z193" s="355"/>
      <c r="AA193" s="305">
        <f t="shared" si="120"/>
        <v>0</v>
      </c>
      <c r="AB193" s="308">
        <f t="shared" si="121"/>
        <v>0</v>
      </c>
    </row>
    <row r="194" spans="1:28" ht="16.5" thickBot="1" x14ac:dyDescent="0.3">
      <c r="A194" s="402">
        <v>14</v>
      </c>
      <c r="B194" s="362" t="s">
        <v>18</v>
      </c>
      <c r="C194" s="309">
        <f t="shared" si="111"/>
        <v>201</v>
      </c>
      <c r="D194" s="309">
        <f t="shared" si="112"/>
        <v>241200</v>
      </c>
      <c r="E194" s="309">
        <f t="shared" si="122"/>
        <v>0</v>
      </c>
      <c r="F194" s="309">
        <f t="shared" si="113"/>
        <v>0</v>
      </c>
      <c r="G194" s="310">
        <f t="shared" si="114"/>
        <v>0</v>
      </c>
      <c r="H194" s="310">
        <f t="shared" si="115"/>
        <v>0</v>
      </c>
      <c r="I194" s="388"/>
      <c r="J194" s="389"/>
      <c r="K194" s="311">
        <v>106</v>
      </c>
      <c r="L194" s="309">
        <v>127200</v>
      </c>
      <c r="M194" s="356"/>
      <c r="N194" s="356"/>
      <c r="O194" s="310">
        <f t="shared" si="116"/>
        <v>0</v>
      </c>
      <c r="P194" s="310">
        <f t="shared" si="117"/>
        <v>0</v>
      </c>
      <c r="Q194" s="311">
        <v>54</v>
      </c>
      <c r="R194" s="309">
        <v>64800</v>
      </c>
      <c r="S194" s="356"/>
      <c r="T194" s="356"/>
      <c r="U194" s="310">
        <f t="shared" si="118"/>
        <v>0</v>
      </c>
      <c r="V194" s="310">
        <f t="shared" si="119"/>
        <v>0</v>
      </c>
      <c r="W194" s="312">
        <v>41</v>
      </c>
      <c r="X194" s="309">
        <v>49200</v>
      </c>
      <c r="Y194" s="356"/>
      <c r="Z194" s="356"/>
      <c r="AA194" s="310">
        <f t="shared" si="120"/>
        <v>0</v>
      </c>
      <c r="AB194" s="313">
        <f t="shared" si="121"/>
        <v>0</v>
      </c>
    </row>
    <row r="195" spans="1:28" x14ac:dyDescent="0.25">
      <c r="B195" s="443"/>
      <c r="C195" s="444"/>
      <c r="D195" s="444"/>
      <c r="E195" s="444"/>
      <c r="F195" s="448"/>
      <c r="G195" s="445"/>
      <c r="H195" s="448"/>
      <c r="I195" s="446"/>
      <c r="M195" s="448"/>
      <c r="N195" s="445"/>
    </row>
    <row r="196" spans="1:28" x14ac:dyDescent="0.25">
      <c r="B196" s="443"/>
      <c r="C196" s="444"/>
      <c r="D196" s="444"/>
      <c r="E196" s="444"/>
      <c r="F196" s="448"/>
      <c r="G196" s="445"/>
      <c r="H196" s="448"/>
      <c r="I196" s="446"/>
      <c r="M196" s="448"/>
      <c r="N196" s="445"/>
    </row>
    <row r="197" spans="1:28" ht="19.5" thickBot="1" x14ac:dyDescent="0.35">
      <c r="B197" s="376" t="s">
        <v>626</v>
      </c>
    </row>
    <row r="198" spans="1:28" ht="16.5" thickBot="1" x14ac:dyDescent="0.3">
      <c r="A198" s="664" t="s">
        <v>0</v>
      </c>
      <c r="B198" s="667" t="s">
        <v>195</v>
      </c>
      <c r="C198" s="670" t="s">
        <v>196</v>
      </c>
      <c r="D198" s="671"/>
      <c r="E198" s="671"/>
      <c r="F198" s="671"/>
      <c r="G198" s="671"/>
      <c r="H198" s="672"/>
      <c r="I198" s="673" t="s">
        <v>557</v>
      </c>
      <c r="J198" s="674"/>
      <c r="K198" s="679" t="s">
        <v>197</v>
      </c>
      <c r="L198" s="680"/>
      <c r="M198" s="680"/>
      <c r="N198" s="680"/>
      <c r="O198" s="680"/>
      <c r="P198" s="680"/>
      <c r="Q198" s="680"/>
      <c r="R198" s="680"/>
      <c r="S198" s="680"/>
      <c r="T198" s="680"/>
      <c r="U198" s="680"/>
      <c r="V198" s="680"/>
      <c r="W198" s="680"/>
      <c r="X198" s="680"/>
      <c r="Y198" s="680"/>
      <c r="Z198" s="680"/>
      <c r="AA198" s="680"/>
      <c r="AB198" s="681"/>
    </row>
    <row r="199" spans="1:28" ht="15.75" x14ac:dyDescent="0.25">
      <c r="A199" s="665"/>
      <c r="B199" s="668"/>
      <c r="C199" s="682" t="s">
        <v>143</v>
      </c>
      <c r="D199" s="683"/>
      <c r="E199" s="686" t="s">
        <v>198</v>
      </c>
      <c r="F199" s="683"/>
      <c r="G199" s="686" t="s">
        <v>199</v>
      </c>
      <c r="H199" s="688"/>
      <c r="I199" s="675"/>
      <c r="J199" s="676"/>
      <c r="K199" s="690" t="s">
        <v>200</v>
      </c>
      <c r="L199" s="691"/>
      <c r="M199" s="691"/>
      <c r="N199" s="691"/>
      <c r="O199" s="691"/>
      <c r="P199" s="692"/>
      <c r="Q199" s="690" t="s">
        <v>201</v>
      </c>
      <c r="R199" s="691"/>
      <c r="S199" s="691"/>
      <c r="T199" s="691"/>
      <c r="U199" s="691"/>
      <c r="V199" s="692"/>
      <c r="W199" s="690" t="s">
        <v>202</v>
      </c>
      <c r="X199" s="691"/>
      <c r="Y199" s="691"/>
      <c r="Z199" s="691"/>
      <c r="AA199" s="691"/>
      <c r="AB199" s="692"/>
    </row>
    <row r="200" spans="1:28" ht="15.75" x14ac:dyDescent="0.25">
      <c r="A200" s="665"/>
      <c r="B200" s="668"/>
      <c r="C200" s="684"/>
      <c r="D200" s="685"/>
      <c r="E200" s="687"/>
      <c r="F200" s="685"/>
      <c r="G200" s="687"/>
      <c r="H200" s="689"/>
      <c r="I200" s="677"/>
      <c r="J200" s="678"/>
      <c r="K200" s="693" t="s">
        <v>143</v>
      </c>
      <c r="L200" s="694"/>
      <c r="M200" s="695" t="s">
        <v>198</v>
      </c>
      <c r="N200" s="694"/>
      <c r="O200" s="695" t="s">
        <v>199</v>
      </c>
      <c r="P200" s="696"/>
      <c r="Q200" s="693" t="s">
        <v>143</v>
      </c>
      <c r="R200" s="694"/>
      <c r="S200" s="695" t="s">
        <v>198</v>
      </c>
      <c r="T200" s="694"/>
      <c r="U200" s="695" t="s">
        <v>199</v>
      </c>
      <c r="V200" s="696"/>
      <c r="W200" s="693" t="s">
        <v>143</v>
      </c>
      <c r="X200" s="694"/>
      <c r="Y200" s="695" t="s">
        <v>198</v>
      </c>
      <c r="Z200" s="694"/>
      <c r="AA200" s="695" t="s">
        <v>199</v>
      </c>
      <c r="AB200" s="696"/>
    </row>
    <row r="201" spans="1:28" ht="16.5" thickBot="1" x14ac:dyDescent="0.3">
      <c r="A201" s="666"/>
      <c r="B201" s="669"/>
      <c r="C201" s="587" t="s">
        <v>203</v>
      </c>
      <c r="D201" s="290" t="s">
        <v>204</v>
      </c>
      <c r="E201" s="290" t="s">
        <v>203</v>
      </c>
      <c r="F201" s="290" t="s">
        <v>204</v>
      </c>
      <c r="G201" s="290" t="s">
        <v>203</v>
      </c>
      <c r="H201" s="290" t="s">
        <v>204</v>
      </c>
      <c r="I201" s="587" t="s">
        <v>558</v>
      </c>
      <c r="J201" s="589" t="s">
        <v>204</v>
      </c>
      <c r="K201" s="587" t="s">
        <v>203</v>
      </c>
      <c r="L201" s="290" t="s">
        <v>204</v>
      </c>
      <c r="M201" s="290" t="s">
        <v>203</v>
      </c>
      <c r="N201" s="290" t="s">
        <v>204</v>
      </c>
      <c r="O201" s="290" t="s">
        <v>203</v>
      </c>
      <c r="P201" s="290" t="s">
        <v>204</v>
      </c>
      <c r="Q201" s="587" t="s">
        <v>203</v>
      </c>
      <c r="R201" s="290" t="s">
        <v>204</v>
      </c>
      <c r="S201" s="290" t="s">
        <v>203</v>
      </c>
      <c r="T201" s="290" t="s">
        <v>204</v>
      </c>
      <c r="U201" s="290" t="s">
        <v>203</v>
      </c>
      <c r="V201" s="290" t="s">
        <v>204</v>
      </c>
      <c r="W201" s="587" t="s">
        <v>203</v>
      </c>
      <c r="X201" s="290" t="s">
        <v>204</v>
      </c>
      <c r="Y201" s="290" t="s">
        <v>203</v>
      </c>
      <c r="Z201" s="290" t="s">
        <v>204</v>
      </c>
      <c r="AA201" s="290" t="s">
        <v>203</v>
      </c>
      <c r="AB201" s="589" t="s">
        <v>204</v>
      </c>
    </row>
    <row r="202" spans="1:28" ht="16.5" thickBot="1" x14ac:dyDescent="0.3">
      <c r="A202" s="662" t="s">
        <v>163</v>
      </c>
      <c r="B202" s="663"/>
      <c r="C202" s="291">
        <f t="shared" ref="C202:I202" si="123">SUM(C204:C216)</f>
        <v>2352</v>
      </c>
      <c r="D202" s="292">
        <f t="shared" si="123"/>
        <v>2822400</v>
      </c>
      <c r="E202" s="292">
        <f t="shared" si="123"/>
        <v>0</v>
      </c>
      <c r="F202" s="292">
        <f t="shared" si="123"/>
        <v>0</v>
      </c>
      <c r="G202" s="292" t="e">
        <f t="shared" si="123"/>
        <v>#DIV/0!</v>
      </c>
      <c r="H202" s="292" t="e">
        <f t="shared" si="123"/>
        <v>#DIV/0!</v>
      </c>
      <c r="I202" s="291">
        <f t="shared" si="123"/>
        <v>0</v>
      </c>
      <c r="J202" s="383">
        <f t="shared" ref="J202:AB202" si="124">SUM(J204:J216)</f>
        <v>0</v>
      </c>
      <c r="K202" s="291">
        <f t="shared" si="124"/>
        <v>658</v>
      </c>
      <c r="L202" s="292">
        <f t="shared" si="124"/>
        <v>789600</v>
      </c>
      <c r="M202" s="292">
        <f t="shared" si="124"/>
        <v>0</v>
      </c>
      <c r="N202" s="292">
        <f t="shared" si="124"/>
        <v>0</v>
      </c>
      <c r="O202" s="292" t="e">
        <f t="shared" si="124"/>
        <v>#DIV/0!</v>
      </c>
      <c r="P202" s="293" t="e">
        <f t="shared" si="124"/>
        <v>#DIV/0!</v>
      </c>
      <c r="Q202" s="291">
        <f t="shared" si="124"/>
        <v>1152</v>
      </c>
      <c r="R202" s="292">
        <f t="shared" si="124"/>
        <v>1382400</v>
      </c>
      <c r="S202" s="292">
        <f t="shared" si="124"/>
        <v>0</v>
      </c>
      <c r="T202" s="292">
        <f t="shared" si="124"/>
        <v>0</v>
      </c>
      <c r="U202" s="292" t="e">
        <f t="shared" si="124"/>
        <v>#DIV/0!</v>
      </c>
      <c r="V202" s="293" t="e">
        <f t="shared" si="124"/>
        <v>#DIV/0!</v>
      </c>
      <c r="W202" s="291">
        <f t="shared" si="124"/>
        <v>542</v>
      </c>
      <c r="X202" s="292">
        <f t="shared" si="124"/>
        <v>650400</v>
      </c>
      <c r="Y202" s="292">
        <f t="shared" si="124"/>
        <v>0</v>
      </c>
      <c r="Z202" s="292">
        <f t="shared" si="124"/>
        <v>0</v>
      </c>
      <c r="AA202" s="292" t="e">
        <f t="shared" si="124"/>
        <v>#DIV/0!</v>
      </c>
      <c r="AB202" s="293" t="e">
        <f t="shared" si="124"/>
        <v>#DIV/0!</v>
      </c>
    </row>
    <row r="203" spans="1:28" ht="15.75" x14ac:dyDescent="0.25">
      <c r="A203" s="296">
        <v>1</v>
      </c>
      <c r="B203" s="358" t="s">
        <v>127</v>
      </c>
      <c r="C203" s="297"/>
      <c r="D203" s="297"/>
      <c r="E203" s="297"/>
      <c r="F203" s="297"/>
      <c r="G203" s="298"/>
      <c r="H203" s="298"/>
      <c r="I203" s="384"/>
      <c r="J203" s="385"/>
      <c r="K203" s="299"/>
      <c r="L203" s="297"/>
      <c r="M203" s="354"/>
      <c r="N203" s="354"/>
      <c r="O203" s="298"/>
      <c r="P203" s="298"/>
      <c r="Q203" s="299"/>
      <c r="R203" s="297"/>
      <c r="S203" s="354"/>
      <c r="T203" s="354"/>
      <c r="U203" s="298"/>
      <c r="V203" s="298"/>
      <c r="W203" s="300"/>
      <c r="X203" s="297"/>
      <c r="Y203" s="354"/>
      <c r="Z203" s="354"/>
      <c r="AA203" s="298"/>
      <c r="AB203" s="301"/>
    </row>
    <row r="204" spans="1:28" ht="15.75" x14ac:dyDescent="0.25">
      <c r="A204" s="296">
        <v>2</v>
      </c>
      <c r="B204" s="358" t="s">
        <v>205</v>
      </c>
      <c r="C204" s="297">
        <f t="shared" ref="C204:C216" si="125">+K204+Q204+W204</f>
        <v>659</v>
      </c>
      <c r="D204" s="297">
        <f t="shared" ref="D204:D216" si="126">+L204+R204+X204</f>
        <v>790800</v>
      </c>
      <c r="E204" s="297">
        <f>+M204+S204+Y204</f>
        <v>0</v>
      </c>
      <c r="F204" s="297">
        <f t="shared" ref="F204:F216" si="127">+N204+T204+Z204</f>
        <v>0</v>
      </c>
      <c r="G204" s="298">
        <f>+E204/C204</f>
        <v>0</v>
      </c>
      <c r="H204" s="298">
        <f>+F204/D204</f>
        <v>0</v>
      </c>
      <c r="I204" s="384"/>
      <c r="J204" s="385"/>
      <c r="K204" s="299"/>
      <c r="L204" s="297"/>
      <c r="M204" s="354"/>
      <c r="N204" s="354"/>
      <c r="O204" s="298" t="e">
        <f>+M204/K204</f>
        <v>#DIV/0!</v>
      </c>
      <c r="P204" s="298" t="e">
        <f>+N204/L204</f>
        <v>#DIV/0!</v>
      </c>
      <c r="Q204" s="299">
        <v>659</v>
      </c>
      <c r="R204" s="297">
        <v>790800</v>
      </c>
      <c r="S204" s="354"/>
      <c r="T204" s="354"/>
      <c r="U204" s="298">
        <f>+S204/Q204</f>
        <v>0</v>
      </c>
      <c r="V204" s="298">
        <f>+T204/R204</f>
        <v>0</v>
      </c>
      <c r="W204" s="300"/>
      <c r="X204" s="297"/>
      <c r="Y204" s="354"/>
      <c r="Z204" s="354"/>
      <c r="AA204" s="298" t="e">
        <f>+Y204/W204</f>
        <v>#DIV/0!</v>
      </c>
      <c r="AB204" s="301" t="e">
        <f>+Z204/X204</f>
        <v>#DIV/0!</v>
      </c>
    </row>
    <row r="205" spans="1:28" ht="15.75" x14ac:dyDescent="0.25">
      <c r="A205" s="296">
        <v>3</v>
      </c>
      <c r="B205" s="359" t="s">
        <v>147</v>
      </c>
      <c r="C205" s="304">
        <f t="shared" si="125"/>
        <v>0</v>
      </c>
      <c r="D205" s="304">
        <f t="shared" si="126"/>
        <v>0</v>
      </c>
      <c r="E205" s="304">
        <f>+M205+S205+Y205</f>
        <v>0</v>
      </c>
      <c r="F205" s="304">
        <f t="shared" si="127"/>
        <v>0</v>
      </c>
      <c r="G205" s="305" t="e">
        <f t="shared" ref="G205:G216" si="128">+E205/C205</f>
        <v>#DIV/0!</v>
      </c>
      <c r="H205" s="305" t="e">
        <f t="shared" ref="H205:H216" si="129">+F205/D205</f>
        <v>#DIV/0!</v>
      </c>
      <c r="I205" s="386"/>
      <c r="J205" s="387"/>
      <c r="K205" s="306"/>
      <c r="L205" s="304"/>
      <c r="M205" s="355"/>
      <c r="N205" s="355"/>
      <c r="O205" s="305" t="e">
        <f t="shared" ref="O205:O216" si="130">+M205/K205</f>
        <v>#DIV/0!</v>
      </c>
      <c r="P205" s="305" t="e">
        <f t="shared" ref="P205:P216" si="131">+N205/L205</f>
        <v>#DIV/0!</v>
      </c>
      <c r="Q205" s="306"/>
      <c r="R205" s="304"/>
      <c r="S205" s="355"/>
      <c r="T205" s="355"/>
      <c r="U205" s="305" t="e">
        <f t="shared" ref="U205:U216" si="132">+S205/Q205</f>
        <v>#DIV/0!</v>
      </c>
      <c r="V205" s="305" t="e">
        <f t="shared" ref="V205:V216" si="133">+T205/R205</f>
        <v>#DIV/0!</v>
      </c>
      <c r="W205" s="307"/>
      <c r="X205" s="304"/>
      <c r="Y205" s="355"/>
      <c r="Z205" s="355"/>
      <c r="AA205" s="305" t="e">
        <f t="shared" ref="AA205:AA216" si="134">+Y205/W205</f>
        <v>#DIV/0!</v>
      </c>
      <c r="AB205" s="308" t="e">
        <f t="shared" ref="AB205:AB216" si="135">+Z205/X205</f>
        <v>#DIV/0!</v>
      </c>
    </row>
    <row r="206" spans="1:28" ht="15.75" x14ac:dyDescent="0.25">
      <c r="A206" s="296">
        <v>4</v>
      </c>
      <c r="B206" s="359" t="s">
        <v>148</v>
      </c>
      <c r="C206" s="304">
        <f t="shared" si="125"/>
        <v>142</v>
      </c>
      <c r="D206" s="304">
        <f t="shared" si="126"/>
        <v>170400</v>
      </c>
      <c r="E206" s="304">
        <f>+M206+S206+Y206</f>
        <v>0</v>
      </c>
      <c r="F206" s="304">
        <f t="shared" si="127"/>
        <v>0</v>
      </c>
      <c r="G206" s="305">
        <f t="shared" si="128"/>
        <v>0</v>
      </c>
      <c r="H206" s="305">
        <f t="shared" si="129"/>
        <v>0</v>
      </c>
      <c r="I206" s="386"/>
      <c r="J206" s="387"/>
      <c r="K206" s="306"/>
      <c r="L206" s="304"/>
      <c r="M206" s="355"/>
      <c r="N206" s="355"/>
      <c r="O206" s="305" t="e">
        <f t="shared" si="130"/>
        <v>#DIV/0!</v>
      </c>
      <c r="P206" s="305" t="e">
        <f t="shared" si="131"/>
        <v>#DIV/0!</v>
      </c>
      <c r="Q206" s="306"/>
      <c r="R206" s="304"/>
      <c r="S206" s="355"/>
      <c r="T206" s="355"/>
      <c r="U206" s="305" t="e">
        <f t="shared" si="132"/>
        <v>#DIV/0!</v>
      </c>
      <c r="V206" s="305" t="e">
        <f t="shared" si="133"/>
        <v>#DIV/0!</v>
      </c>
      <c r="W206" s="307">
        <v>142</v>
      </c>
      <c r="X206" s="304">
        <v>170400</v>
      </c>
      <c r="Y206" s="355"/>
      <c r="Z206" s="355"/>
      <c r="AA206" s="305">
        <f t="shared" si="134"/>
        <v>0</v>
      </c>
      <c r="AB206" s="308">
        <f t="shared" si="135"/>
        <v>0</v>
      </c>
    </row>
    <row r="207" spans="1:28" ht="15.75" x14ac:dyDescent="0.25">
      <c r="A207" s="296">
        <v>5</v>
      </c>
      <c r="B207" s="360" t="s">
        <v>206</v>
      </c>
      <c r="C207" s="304">
        <f t="shared" si="125"/>
        <v>199</v>
      </c>
      <c r="D207" s="304">
        <f t="shared" si="126"/>
        <v>238800</v>
      </c>
      <c r="E207" s="304">
        <f>+M207+S207+Y207</f>
        <v>0</v>
      </c>
      <c r="F207" s="304">
        <f t="shared" si="127"/>
        <v>0</v>
      </c>
      <c r="G207" s="305">
        <f t="shared" si="128"/>
        <v>0</v>
      </c>
      <c r="H207" s="305">
        <f t="shared" si="129"/>
        <v>0</v>
      </c>
      <c r="I207" s="386"/>
      <c r="J207" s="450"/>
      <c r="K207" s="306">
        <v>80</v>
      </c>
      <c r="L207" s="304">
        <v>96000</v>
      </c>
      <c r="M207" s="355"/>
      <c r="N207" s="355"/>
      <c r="O207" s="305">
        <f t="shared" si="130"/>
        <v>0</v>
      </c>
      <c r="P207" s="305">
        <f t="shared" si="131"/>
        <v>0</v>
      </c>
      <c r="Q207" s="306">
        <v>70</v>
      </c>
      <c r="R207" s="304">
        <v>84000</v>
      </c>
      <c r="S207" s="355"/>
      <c r="T207" s="355"/>
      <c r="U207" s="305">
        <f t="shared" si="132"/>
        <v>0</v>
      </c>
      <c r="V207" s="305">
        <f t="shared" si="133"/>
        <v>0</v>
      </c>
      <c r="W207" s="307">
        <v>49</v>
      </c>
      <c r="X207" s="304">
        <v>58800</v>
      </c>
      <c r="Y207" s="355"/>
      <c r="Z207" s="355"/>
      <c r="AA207" s="305">
        <f t="shared" si="134"/>
        <v>0</v>
      </c>
      <c r="AB207" s="308">
        <f t="shared" si="135"/>
        <v>0</v>
      </c>
    </row>
    <row r="208" spans="1:28" ht="15.75" x14ac:dyDescent="0.25">
      <c r="A208" s="296">
        <v>6</v>
      </c>
      <c r="B208" s="359" t="s">
        <v>174</v>
      </c>
      <c r="C208" s="304">
        <f t="shared" si="125"/>
        <v>360</v>
      </c>
      <c r="D208" s="304">
        <f t="shared" si="126"/>
        <v>432000</v>
      </c>
      <c r="E208" s="304">
        <f>+M208+S208+Y208</f>
        <v>0</v>
      </c>
      <c r="F208" s="304">
        <f t="shared" si="127"/>
        <v>0</v>
      </c>
      <c r="G208" s="305">
        <f t="shared" si="128"/>
        <v>0</v>
      </c>
      <c r="H208" s="305">
        <f t="shared" si="129"/>
        <v>0</v>
      </c>
      <c r="I208" s="386"/>
      <c r="J208" s="387"/>
      <c r="K208" s="306">
        <v>120</v>
      </c>
      <c r="L208" s="304">
        <v>144000</v>
      </c>
      <c r="M208" s="355"/>
      <c r="N208" s="355"/>
      <c r="O208" s="305">
        <f t="shared" si="130"/>
        <v>0</v>
      </c>
      <c r="P208" s="305">
        <f t="shared" si="131"/>
        <v>0</v>
      </c>
      <c r="Q208" s="306">
        <v>120</v>
      </c>
      <c r="R208" s="304">
        <v>144000</v>
      </c>
      <c r="S208" s="355"/>
      <c r="T208" s="355"/>
      <c r="U208" s="305">
        <f t="shared" si="132"/>
        <v>0</v>
      </c>
      <c r="V208" s="305">
        <f t="shared" si="133"/>
        <v>0</v>
      </c>
      <c r="W208" s="307">
        <v>120</v>
      </c>
      <c r="X208" s="304">
        <v>144000</v>
      </c>
      <c r="Y208" s="355"/>
      <c r="Z208" s="355"/>
      <c r="AA208" s="305">
        <f t="shared" si="134"/>
        <v>0</v>
      </c>
      <c r="AB208" s="308">
        <f t="shared" si="135"/>
        <v>0</v>
      </c>
    </row>
    <row r="209" spans="1:28" ht="15.75" x14ac:dyDescent="0.25">
      <c r="A209" s="296">
        <v>7</v>
      </c>
      <c r="B209" s="360" t="s">
        <v>151</v>
      </c>
      <c r="C209" s="304">
        <f t="shared" si="125"/>
        <v>348</v>
      </c>
      <c r="D209" s="304">
        <f t="shared" si="126"/>
        <v>417600</v>
      </c>
      <c r="E209" s="304">
        <f t="shared" ref="E209:E216" si="136">+M209+S209+Y209</f>
        <v>0</v>
      </c>
      <c r="F209" s="304">
        <f t="shared" si="127"/>
        <v>0</v>
      </c>
      <c r="G209" s="305">
        <f t="shared" si="128"/>
        <v>0</v>
      </c>
      <c r="H209" s="305">
        <f t="shared" si="129"/>
        <v>0</v>
      </c>
      <c r="I209" s="386"/>
      <c r="J209" s="387"/>
      <c r="K209" s="306">
        <v>148</v>
      </c>
      <c r="L209" s="304">
        <v>177600</v>
      </c>
      <c r="M209" s="355"/>
      <c r="N209" s="355"/>
      <c r="O209" s="305">
        <f t="shared" si="130"/>
        <v>0</v>
      </c>
      <c r="P209" s="305">
        <f t="shared" si="131"/>
        <v>0</v>
      </c>
      <c r="Q209" s="306">
        <v>120</v>
      </c>
      <c r="R209" s="304">
        <v>144000</v>
      </c>
      <c r="S209" s="355"/>
      <c r="T209" s="355"/>
      <c r="U209" s="305">
        <f t="shared" si="132"/>
        <v>0</v>
      </c>
      <c r="V209" s="305">
        <f t="shared" si="133"/>
        <v>0</v>
      </c>
      <c r="W209" s="307">
        <v>80</v>
      </c>
      <c r="X209" s="304">
        <v>96000</v>
      </c>
      <c r="Y209" s="355"/>
      <c r="Z209" s="355"/>
      <c r="AA209" s="305">
        <f t="shared" si="134"/>
        <v>0</v>
      </c>
      <c r="AB209" s="308">
        <f t="shared" si="135"/>
        <v>0</v>
      </c>
    </row>
    <row r="210" spans="1:28" ht="15.75" x14ac:dyDescent="0.25">
      <c r="A210" s="296">
        <v>8</v>
      </c>
      <c r="B210" s="360" t="s">
        <v>207</v>
      </c>
      <c r="C210" s="304">
        <f t="shared" si="125"/>
        <v>0</v>
      </c>
      <c r="D210" s="304">
        <f t="shared" si="126"/>
        <v>0</v>
      </c>
      <c r="E210" s="304">
        <f t="shared" si="136"/>
        <v>0</v>
      </c>
      <c r="F210" s="304">
        <f t="shared" si="127"/>
        <v>0</v>
      </c>
      <c r="G210" s="305" t="e">
        <f t="shared" si="128"/>
        <v>#DIV/0!</v>
      </c>
      <c r="H210" s="305" t="e">
        <f t="shared" si="129"/>
        <v>#DIV/0!</v>
      </c>
      <c r="I210" s="386"/>
      <c r="J210" s="387"/>
      <c r="K210" s="306"/>
      <c r="L210" s="304"/>
      <c r="M210" s="355"/>
      <c r="N210" s="355"/>
      <c r="O210" s="305" t="e">
        <f t="shared" si="130"/>
        <v>#DIV/0!</v>
      </c>
      <c r="P210" s="305" t="e">
        <f t="shared" si="131"/>
        <v>#DIV/0!</v>
      </c>
      <c r="Q210" s="306"/>
      <c r="R210" s="304"/>
      <c r="S210" s="355"/>
      <c r="T210" s="355"/>
      <c r="U210" s="305" t="e">
        <f t="shared" si="132"/>
        <v>#DIV/0!</v>
      </c>
      <c r="V210" s="305" t="e">
        <f t="shared" si="133"/>
        <v>#DIV/0!</v>
      </c>
      <c r="W210" s="307"/>
      <c r="X210" s="304"/>
      <c r="Y210" s="355"/>
      <c r="Z210" s="355"/>
      <c r="AA210" s="305" t="e">
        <f t="shared" si="134"/>
        <v>#DIV/0!</v>
      </c>
      <c r="AB210" s="308" t="e">
        <f t="shared" si="135"/>
        <v>#DIV/0!</v>
      </c>
    </row>
    <row r="211" spans="1:28" ht="15.75" x14ac:dyDescent="0.25">
      <c r="A211" s="296">
        <v>9</v>
      </c>
      <c r="B211" s="360" t="s">
        <v>153</v>
      </c>
      <c r="C211" s="304">
        <f t="shared" si="125"/>
        <v>128</v>
      </c>
      <c r="D211" s="304">
        <f t="shared" si="126"/>
        <v>153600</v>
      </c>
      <c r="E211" s="304">
        <f t="shared" si="136"/>
        <v>0</v>
      </c>
      <c r="F211" s="304">
        <f t="shared" si="127"/>
        <v>0</v>
      </c>
      <c r="G211" s="305">
        <f t="shared" si="128"/>
        <v>0</v>
      </c>
      <c r="H211" s="305">
        <f t="shared" si="129"/>
        <v>0</v>
      </c>
      <c r="I211" s="386"/>
      <c r="J211" s="387"/>
      <c r="K211" s="306">
        <v>68</v>
      </c>
      <c r="L211" s="304">
        <v>81600</v>
      </c>
      <c r="M211" s="355"/>
      <c r="N211" s="355"/>
      <c r="O211" s="305">
        <f t="shared" si="130"/>
        <v>0</v>
      </c>
      <c r="P211" s="305">
        <f t="shared" si="131"/>
        <v>0</v>
      </c>
      <c r="Q211" s="306">
        <v>36</v>
      </c>
      <c r="R211" s="304">
        <v>43200</v>
      </c>
      <c r="S211" s="355"/>
      <c r="T211" s="355"/>
      <c r="U211" s="305">
        <f t="shared" si="132"/>
        <v>0</v>
      </c>
      <c r="V211" s="305">
        <f t="shared" si="133"/>
        <v>0</v>
      </c>
      <c r="W211" s="307">
        <v>24</v>
      </c>
      <c r="X211" s="304">
        <v>28800</v>
      </c>
      <c r="Y211" s="355"/>
      <c r="Z211" s="355"/>
      <c r="AA211" s="305">
        <f t="shared" si="134"/>
        <v>0</v>
      </c>
      <c r="AB211" s="308">
        <f t="shared" si="135"/>
        <v>0</v>
      </c>
    </row>
    <row r="212" spans="1:28" ht="15.75" x14ac:dyDescent="0.25">
      <c r="A212" s="296">
        <v>10</v>
      </c>
      <c r="B212" s="360" t="s">
        <v>154</v>
      </c>
      <c r="C212" s="304">
        <f t="shared" si="125"/>
        <v>89</v>
      </c>
      <c r="D212" s="304">
        <f t="shared" si="126"/>
        <v>106800</v>
      </c>
      <c r="E212" s="304">
        <f t="shared" si="136"/>
        <v>0</v>
      </c>
      <c r="F212" s="304">
        <f t="shared" si="127"/>
        <v>0</v>
      </c>
      <c r="G212" s="305">
        <f t="shared" si="128"/>
        <v>0</v>
      </c>
      <c r="H212" s="305">
        <f t="shared" si="129"/>
        <v>0</v>
      </c>
      <c r="I212" s="386"/>
      <c r="J212" s="387"/>
      <c r="K212" s="306">
        <v>36</v>
      </c>
      <c r="L212" s="304">
        <v>43200</v>
      </c>
      <c r="M212" s="355"/>
      <c r="N212" s="355"/>
      <c r="O212" s="305">
        <f t="shared" si="130"/>
        <v>0</v>
      </c>
      <c r="P212" s="305">
        <f t="shared" si="131"/>
        <v>0</v>
      </c>
      <c r="Q212" s="306">
        <v>28</v>
      </c>
      <c r="R212" s="304">
        <v>33600</v>
      </c>
      <c r="S212" s="355"/>
      <c r="T212" s="355"/>
      <c r="U212" s="305">
        <f t="shared" si="132"/>
        <v>0</v>
      </c>
      <c r="V212" s="305">
        <f t="shared" si="133"/>
        <v>0</v>
      </c>
      <c r="W212" s="307">
        <v>25</v>
      </c>
      <c r="X212" s="304">
        <v>30000</v>
      </c>
      <c r="Y212" s="355"/>
      <c r="Z212" s="355"/>
      <c r="AA212" s="305">
        <f t="shared" si="134"/>
        <v>0</v>
      </c>
      <c r="AB212" s="308">
        <f t="shared" si="135"/>
        <v>0</v>
      </c>
    </row>
    <row r="213" spans="1:28" ht="15.75" x14ac:dyDescent="0.25">
      <c r="A213" s="296">
        <v>11</v>
      </c>
      <c r="B213" s="360" t="s">
        <v>15</v>
      </c>
      <c r="C213" s="304">
        <f t="shared" si="125"/>
        <v>110</v>
      </c>
      <c r="D213" s="304">
        <f t="shared" si="126"/>
        <v>132000</v>
      </c>
      <c r="E213" s="304">
        <f t="shared" si="136"/>
        <v>0</v>
      </c>
      <c r="F213" s="304">
        <f t="shared" si="127"/>
        <v>0</v>
      </c>
      <c r="G213" s="305">
        <f t="shared" si="128"/>
        <v>0</v>
      </c>
      <c r="H213" s="305">
        <f t="shared" si="129"/>
        <v>0</v>
      </c>
      <c r="I213" s="386"/>
      <c r="J213" s="543"/>
      <c r="K213" s="306">
        <v>50</v>
      </c>
      <c r="L213" s="304">
        <v>60000</v>
      </c>
      <c r="M213" s="355"/>
      <c r="N213" s="355"/>
      <c r="O213" s="305">
        <f t="shared" si="130"/>
        <v>0</v>
      </c>
      <c r="P213" s="305">
        <f t="shared" si="131"/>
        <v>0</v>
      </c>
      <c r="Q213" s="306">
        <v>30</v>
      </c>
      <c r="R213" s="304">
        <v>36000</v>
      </c>
      <c r="S213" s="355"/>
      <c r="T213" s="355"/>
      <c r="U213" s="305">
        <f t="shared" si="132"/>
        <v>0</v>
      </c>
      <c r="V213" s="305">
        <f t="shared" si="133"/>
        <v>0</v>
      </c>
      <c r="W213" s="307">
        <v>30</v>
      </c>
      <c r="X213" s="304">
        <v>36000</v>
      </c>
      <c r="Y213" s="355"/>
      <c r="Z213" s="355"/>
      <c r="AA213" s="305">
        <f t="shared" si="134"/>
        <v>0</v>
      </c>
      <c r="AB213" s="308">
        <f t="shared" si="135"/>
        <v>0</v>
      </c>
    </row>
    <row r="214" spans="1:28" ht="15.75" x14ac:dyDescent="0.25">
      <c r="A214" s="296">
        <v>12</v>
      </c>
      <c r="B214" s="360" t="s">
        <v>155</v>
      </c>
      <c r="C214" s="304">
        <f t="shared" si="125"/>
        <v>0</v>
      </c>
      <c r="D214" s="304">
        <f t="shared" si="126"/>
        <v>0</v>
      </c>
      <c r="E214" s="304">
        <f t="shared" si="136"/>
        <v>0</v>
      </c>
      <c r="F214" s="304">
        <f t="shared" si="127"/>
        <v>0</v>
      </c>
      <c r="G214" s="305" t="e">
        <f t="shared" si="128"/>
        <v>#DIV/0!</v>
      </c>
      <c r="H214" s="305" t="e">
        <f t="shared" si="129"/>
        <v>#DIV/0!</v>
      </c>
      <c r="I214" s="386"/>
      <c r="J214" s="450"/>
      <c r="K214" s="306"/>
      <c r="L214" s="304"/>
      <c r="M214" s="355"/>
      <c r="N214" s="355"/>
      <c r="O214" s="305" t="e">
        <f t="shared" si="130"/>
        <v>#DIV/0!</v>
      </c>
      <c r="P214" s="305" t="e">
        <f t="shared" si="131"/>
        <v>#DIV/0!</v>
      </c>
      <c r="Q214" s="306"/>
      <c r="R214" s="304"/>
      <c r="S214" s="355"/>
      <c r="T214" s="355"/>
      <c r="U214" s="305" t="e">
        <f t="shared" si="132"/>
        <v>#DIV/0!</v>
      </c>
      <c r="V214" s="305" t="e">
        <f t="shared" si="133"/>
        <v>#DIV/0!</v>
      </c>
      <c r="W214" s="307"/>
      <c r="X214" s="304"/>
      <c r="Y214" s="355"/>
      <c r="Z214" s="355"/>
      <c r="AA214" s="305" t="e">
        <f t="shared" si="134"/>
        <v>#DIV/0!</v>
      </c>
      <c r="AB214" s="308" t="e">
        <f t="shared" si="135"/>
        <v>#DIV/0!</v>
      </c>
    </row>
    <row r="215" spans="1:28" ht="15.75" x14ac:dyDescent="0.25">
      <c r="A215" s="296">
        <v>13</v>
      </c>
      <c r="B215" s="359" t="s">
        <v>17</v>
      </c>
      <c r="C215" s="304">
        <f t="shared" si="125"/>
        <v>116</v>
      </c>
      <c r="D215" s="304">
        <f t="shared" si="126"/>
        <v>139200</v>
      </c>
      <c r="E215" s="304">
        <f t="shared" si="136"/>
        <v>0</v>
      </c>
      <c r="F215" s="304">
        <f t="shared" si="127"/>
        <v>0</v>
      </c>
      <c r="G215" s="305">
        <f t="shared" si="128"/>
        <v>0</v>
      </c>
      <c r="H215" s="305">
        <f t="shared" si="129"/>
        <v>0</v>
      </c>
      <c r="I215" s="386"/>
      <c r="J215" s="387"/>
      <c r="K215" s="306">
        <v>50</v>
      </c>
      <c r="L215" s="304">
        <v>60000</v>
      </c>
      <c r="M215" s="355"/>
      <c r="N215" s="355"/>
      <c r="O215" s="305">
        <f t="shared" si="130"/>
        <v>0</v>
      </c>
      <c r="P215" s="305">
        <f t="shared" si="131"/>
        <v>0</v>
      </c>
      <c r="Q215" s="306">
        <v>35</v>
      </c>
      <c r="R215" s="304">
        <v>42000</v>
      </c>
      <c r="S215" s="355"/>
      <c r="T215" s="355"/>
      <c r="U215" s="305">
        <f t="shared" si="132"/>
        <v>0</v>
      </c>
      <c r="V215" s="305">
        <f t="shared" si="133"/>
        <v>0</v>
      </c>
      <c r="W215" s="307">
        <v>31</v>
      </c>
      <c r="X215" s="304">
        <v>37200</v>
      </c>
      <c r="Y215" s="355"/>
      <c r="Z215" s="355"/>
      <c r="AA215" s="305">
        <f t="shared" si="134"/>
        <v>0</v>
      </c>
      <c r="AB215" s="308">
        <f t="shared" si="135"/>
        <v>0</v>
      </c>
    </row>
    <row r="216" spans="1:28" ht="16.5" thickBot="1" x14ac:dyDescent="0.3">
      <c r="A216" s="402">
        <v>14</v>
      </c>
      <c r="B216" s="362" t="s">
        <v>18</v>
      </c>
      <c r="C216" s="309">
        <f t="shared" si="125"/>
        <v>201</v>
      </c>
      <c r="D216" s="309">
        <f t="shared" si="126"/>
        <v>241200</v>
      </c>
      <c r="E216" s="309">
        <f t="shared" si="136"/>
        <v>0</v>
      </c>
      <c r="F216" s="309">
        <f t="shared" si="127"/>
        <v>0</v>
      </c>
      <c r="G216" s="310">
        <f t="shared" si="128"/>
        <v>0</v>
      </c>
      <c r="H216" s="310">
        <f t="shared" si="129"/>
        <v>0</v>
      </c>
      <c r="I216" s="388"/>
      <c r="J216" s="389"/>
      <c r="K216" s="311">
        <v>106</v>
      </c>
      <c r="L216" s="309">
        <v>127200</v>
      </c>
      <c r="M216" s="356"/>
      <c r="N216" s="356"/>
      <c r="O216" s="310">
        <f t="shared" si="130"/>
        <v>0</v>
      </c>
      <c r="P216" s="310">
        <f t="shared" si="131"/>
        <v>0</v>
      </c>
      <c r="Q216" s="311">
        <v>54</v>
      </c>
      <c r="R216" s="309">
        <v>64800</v>
      </c>
      <c r="S216" s="356"/>
      <c r="T216" s="356"/>
      <c r="U216" s="310">
        <f t="shared" si="132"/>
        <v>0</v>
      </c>
      <c r="V216" s="310">
        <f t="shared" si="133"/>
        <v>0</v>
      </c>
      <c r="W216" s="312">
        <v>41</v>
      </c>
      <c r="X216" s="309">
        <v>49200</v>
      </c>
      <c r="Y216" s="356"/>
      <c r="Z216" s="356"/>
      <c r="AA216" s="310">
        <f t="shared" si="134"/>
        <v>0</v>
      </c>
      <c r="AB216" s="313">
        <f t="shared" si="135"/>
        <v>0</v>
      </c>
    </row>
    <row r="217" spans="1:28" x14ac:dyDescent="0.25">
      <c r="B217" s="443"/>
      <c r="C217" s="444"/>
      <c r="D217" s="444"/>
      <c r="E217" s="444"/>
      <c r="F217" s="448"/>
      <c r="G217" s="445"/>
      <c r="H217" s="448"/>
      <c r="I217" s="446"/>
      <c r="M217" s="448"/>
      <c r="N217" s="445"/>
    </row>
    <row r="218" spans="1:28" x14ac:dyDescent="0.25">
      <c r="B218" s="443"/>
      <c r="C218" s="444"/>
      <c r="D218" s="444"/>
      <c r="E218" s="444"/>
      <c r="F218" s="448"/>
      <c r="G218" s="445"/>
      <c r="H218" s="448"/>
      <c r="I218" s="446"/>
      <c r="M218" s="448"/>
      <c r="N218" s="445"/>
    </row>
    <row r="219" spans="1:28" x14ac:dyDescent="0.25">
      <c r="B219" s="443"/>
      <c r="C219" s="444"/>
      <c r="D219" s="444"/>
      <c r="E219" s="444"/>
      <c r="F219" s="448"/>
      <c r="G219" s="445"/>
      <c r="H219" s="448"/>
      <c r="I219" s="446"/>
      <c r="M219" s="448"/>
      <c r="N219" s="445"/>
    </row>
    <row r="220" spans="1:28" x14ac:dyDescent="0.25">
      <c r="B220" s="443"/>
      <c r="C220" s="444"/>
      <c r="D220" s="444"/>
      <c r="E220" s="444"/>
      <c r="F220" s="448"/>
      <c r="G220" s="445"/>
      <c r="H220" s="448"/>
      <c r="I220" s="446"/>
      <c r="M220" s="448"/>
      <c r="N220" s="445"/>
    </row>
    <row r="221" spans="1:28" x14ac:dyDescent="0.25">
      <c r="B221" s="443"/>
      <c r="C221" s="444"/>
      <c r="D221" s="444"/>
      <c r="E221" s="444"/>
      <c r="F221" s="448"/>
      <c r="G221" s="445"/>
      <c r="H221" s="448"/>
      <c r="I221" s="446"/>
      <c r="M221" s="448"/>
      <c r="N221" s="445"/>
    </row>
    <row r="222" spans="1:28" x14ac:dyDescent="0.25">
      <c r="B222" s="443"/>
      <c r="C222" s="444"/>
      <c r="D222" s="444"/>
      <c r="E222" s="444"/>
      <c r="F222" s="448"/>
      <c r="G222" s="445"/>
      <c r="H222" s="448"/>
      <c r="I222" s="446"/>
      <c r="M222" s="448"/>
      <c r="N222" s="445"/>
    </row>
    <row r="223" spans="1:28" x14ac:dyDescent="0.25">
      <c r="B223" s="443"/>
      <c r="C223" s="444"/>
      <c r="D223" s="444"/>
      <c r="E223" s="444"/>
      <c r="F223" s="448"/>
      <c r="G223" s="445"/>
      <c r="H223" s="448"/>
      <c r="I223" s="446"/>
      <c r="M223" s="448"/>
      <c r="N223" s="445"/>
    </row>
    <row r="224" spans="1:28" x14ac:dyDescent="0.25">
      <c r="B224" s="443"/>
      <c r="C224" s="444"/>
      <c r="D224" s="444"/>
      <c r="E224" s="444"/>
      <c r="F224" s="448"/>
      <c r="G224" s="445"/>
      <c r="H224" s="448"/>
      <c r="I224" s="446"/>
      <c r="M224" s="448"/>
      <c r="N224" s="445"/>
    </row>
    <row r="225" spans="2:14" x14ac:dyDescent="0.25">
      <c r="B225" s="443"/>
      <c r="C225" s="444"/>
      <c r="D225" s="444"/>
      <c r="E225" s="444"/>
      <c r="F225" s="448"/>
      <c r="G225" s="445"/>
      <c r="H225" s="448"/>
      <c r="I225" s="446"/>
      <c r="M225" s="448"/>
      <c r="N225" s="445"/>
    </row>
    <row r="226" spans="2:14" x14ac:dyDescent="0.25">
      <c r="B226" s="443"/>
      <c r="C226" s="444"/>
      <c r="D226" s="444"/>
      <c r="E226" s="444"/>
      <c r="F226" s="448"/>
      <c r="G226" s="445"/>
      <c r="H226" s="448"/>
      <c r="I226" s="446"/>
      <c r="M226" s="448"/>
      <c r="N226" s="445"/>
    </row>
    <row r="227" spans="2:14" x14ac:dyDescent="0.25">
      <c r="B227" s="443"/>
      <c r="C227" s="444"/>
      <c r="D227" s="444"/>
      <c r="E227" s="444"/>
      <c r="F227" s="448"/>
      <c r="G227" s="445"/>
      <c r="H227" s="448"/>
      <c r="I227" s="446"/>
      <c r="M227" s="448"/>
      <c r="N227" s="445"/>
    </row>
    <row r="228" spans="2:14" x14ac:dyDescent="0.25">
      <c r="B228" s="443"/>
      <c r="C228" s="444"/>
      <c r="D228" s="444"/>
      <c r="E228" s="444"/>
      <c r="F228" s="448"/>
      <c r="G228" s="445"/>
      <c r="H228" s="448"/>
      <c r="I228" s="446"/>
      <c r="M228" s="448"/>
      <c r="N228" s="445"/>
    </row>
    <row r="229" spans="2:14" x14ac:dyDescent="0.25">
      <c r="B229" s="443"/>
      <c r="C229" s="444"/>
      <c r="D229" s="444"/>
      <c r="E229" s="444"/>
      <c r="F229" s="448"/>
      <c r="G229" s="445"/>
      <c r="H229" s="448"/>
      <c r="I229" s="446"/>
      <c r="M229" s="448"/>
      <c r="N229" s="445"/>
    </row>
    <row r="230" spans="2:14" x14ac:dyDescent="0.25">
      <c r="B230" s="443"/>
      <c r="C230" s="444"/>
      <c r="D230" s="444"/>
      <c r="E230" s="444"/>
      <c r="F230" s="448"/>
      <c r="G230" s="445"/>
      <c r="H230" s="448"/>
      <c r="I230" s="446"/>
      <c r="M230" s="448"/>
      <c r="N230" s="445"/>
    </row>
    <row r="231" spans="2:14" x14ac:dyDescent="0.25">
      <c r="B231" s="443"/>
      <c r="C231" s="444"/>
      <c r="D231" s="444"/>
      <c r="E231" s="444"/>
      <c r="F231" s="448"/>
      <c r="G231" s="445"/>
      <c r="H231" s="448"/>
      <c r="I231" s="446"/>
      <c r="M231" s="448"/>
      <c r="N231" s="445"/>
    </row>
    <row r="232" spans="2:14" x14ac:dyDescent="0.25">
      <c r="B232" s="443"/>
      <c r="C232" s="444"/>
      <c r="D232" s="444"/>
      <c r="E232" s="444"/>
      <c r="F232" s="448"/>
      <c r="G232" s="445"/>
      <c r="H232" s="448"/>
      <c r="I232" s="446"/>
      <c r="M232" s="448"/>
      <c r="N232" s="445"/>
    </row>
    <row r="233" spans="2:14" x14ac:dyDescent="0.25">
      <c r="B233" s="443"/>
      <c r="C233" s="444"/>
      <c r="D233" s="444"/>
      <c r="E233" s="444"/>
      <c r="F233" s="448"/>
      <c r="G233" s="445"/>
      <c r="H233" s="448"/>
      <c r="I233" s="446"/>
      <c r="M233" s="448"/>
      <c r="N233" s="445"/>
    </row>
    <row r="234" spans="2:14" x14ac:dyDescent="0.25">
      <c r="B234" s="443"/>
      <c r="C234" s="444"/>
      <c r="D234" s="444"/>
      <c r="E234" s="444"/>
      <c r="F234" s="448"/>
      <c r="G234" s="445"/>
      <c r="H234" s="448"/>
      <c r="I234" s="446"/>
      <c r="M234" s="448"/>
      <c r="N234" s="445"/>
    </row>
    <row r="235" spans="2:14" x14ac:dyDescent="0.25">
      <c r="B235" s="443"/>
      <c r="C235" s="444"/>
      <c r="D235" s="444"/>
      <c r="E235" s="444"/>
      <c r="F235" s="448"/>
      <c r="G235" s="445"/>
      <c r="H235" s="448"/>
      <c r="I235" s="446"/>
      <c r="M235" s="448"/>
      <c r="N235" s="445"/>
    </row>
    <row r="236" spans="2:14" x14ac:dyDescent="0.25">
      <c r="B236" s="443"/>
      <c r="C236" s="444"/>
      <c r="D236" s="444"/>
      <c r="E236" s="444"/>
      <c r="F236" s="448"/>
      <c r="G236" s="445"/>
      <c r="H236" s="448"/>
      <c r="I236" s="446"/>
      <c r="M236" s="448"/>
      <c r="N236" s="445"/>
    </row>
    <row r="237" spans="2:14" ht="15.75" customHeight="1" x14ac:dyDescent="0.25">
      <c r="B237" s="443" t="s">
        <v>567</v>
      </c>
      <c r="C237" s="444"/>
      <c r="D237" s="444"/>
      <c r="E237" s="444"/>
      <c r="F237" s="445" t="s">
        <v>568</v>
      </c>
      <c r="G237" s="445"/>
      <c r="H237" s="445"/>
      <c r="I237" s="446"/>
      <c r="J237" s="447"/>
      <c r="K237" s="447"/>
      <c r="L237" s="447"/>
      <c r="M237" s="445" t="s">
        <v>568</v>
      </c>
      <c r="N237" s="445"/>
    </row>
    <row r="238" spans="2:14" x14ac:dyDescent="0.25">
      <c r="B238" s="443"/>
      <c r="C238" s="444"/>
      <c r="D238" s="444"/>
      <c r="E238" s="444"/>
      <c r="F238" s="448" t="s">
        <v>569</v>
      </c>
      <c r="G238" s="445"/>
      <c r="H238" s="448"/>
      <c r="I238" s="446"/>
      <c r="M238" s="448" t="s">
        <v>570</v>
      </c>
      <c r="N238" s="448"/>
    </row>
    <row r="239" spans="2:14" x14ac:dyDescent="0.25">
      <c r="B239" s="443" t="s">
        <v>571</v>
      </c>
      <c r="C239" s="444"/>
      <c r="D239" s="444"/>
      <c r="E239" s="444"/>
      <c r="F239" s="445" t="s">
        <v>568</v>
      </c>
      <c r="G239" s="445"/>
      <c r="H239" s="445"/>
      <c r="I239" s="446"/>
      <c r="M239" s="445" t="s">
        <v>568</v>
      </c>
      <c r="N239" s="445"/>
    </row>
    <row r="240" spans="2:14" ht="16.5" customHeight="1" x14ac:dyDescent="0.25">
      <c r="B240" s="443"/>
      <c r="C240" s="444"/>
      <c r="D240" s="444"/>
      <c r="E240" s="444"/>
      <c r="F240" s="448" t="s">
        <v>569</v>
      </c>
      <c r="G240" s="445"/>
      <c r="H240" s="448"/>
      <c r="I240" s="446"/>
      <c r="M240" s="448" t="s">
        <v>570</v>
      </c>
      <c r="N240" s="448"/>
    </row>
    <row r="241" spans="2:14" x14ac:dyDescent="0.25">
      <c r="B241" s="443" t="s">
        <v>572</v>
      </c>
      <c r="C241" s="444"/>
      <c r="D241" s="444"/>
      <c r="E241" s="444"/>
      <c r="F241" s="445" t="s">
        <v>568</v>
      </c>
      <c r="G241" s="445"/>
      <c r="H241" s="445"/>
      <c r="I241" s="446"/>
      <c r="M241" s="445" t="s">
        <v>568</v>
      </c>
      <c r="N241" s="445"/>
    </row>
    <row r="242" spans="2:14" x14ac:dyDescent="0.25">
      <c r="B242" s="443"/>
      <c r="C242" s="444"/>
      <c r="D242" s="444"/>
      <c r="E242" s="444"/>
      <c r="F242" s="448" t="s">
        <v>569</v>
      </c>
      <c r="G242" s="445"/>
      <c r="H242" s="448"/>
      <c r="I242" s="446"/>
      <c r="M242" s="448" t="s">
        <v>570</v>
      </c>
      <c r="N242" s="448"/>
    </row>
    <row r="243" spans="2:14" x14ac:dyDescent="0.25">
      <c r="B243" s="443" t="s">
        <v>573</v>
      </c>
      <c r="C243" s="444"/>
      <c r="D243" s="444"/>
      <c r="E243" s="444"/>
      <c r="F243" s="448"/>
      <c r="G243" s="445"/>
      <c r="H243" s="448"/>
      <c r="I243" s="446"/>
      <c r="M243" s="448"/>
      <c r="N243" s="445"/>
    </row>
    <row r="244" spans="2:14" x14ac:dyDescent="0.25">
      <c r="B244" s="443"/>
      <c r="C244" s="444"/>
      <c r="D244" s="444"/>
      <c r="E244" s="444"/>
      <c r="F244" s="445" t="s">
        <v>568</v>
      </c>
      <c r="G244" s="445"/>
      <c r="H244" s="445"/>
      <c r="I244" s="446"/>
      <c r="M244" s="445" t="s">
        <v>568</v>
      </c>
      <c r="N244" s="448"/>
    </row>
    <row r="245" spans="2:14" x14ac:dyDescent="0.25">
      <c r="B245" s="443"/>
      <c r="C245" s="444"/>
      <c r="D245" s="444"/>
      <c r="E245" s="444"/>
      <c r="F245" s="448" t="s">
        <v>569</v>
      </c>
      <c r="G245" s="445"/>
      <c r="H245" s="448"/>
      <c r="I245" s="446"/>
      <c r="M245" s="448" t="s">
        <v>570</v>
      </c>
      <c r="N245" s="445"/>
    </row>
    <row r="246" spans="2:14" x14ac:dyDescent="0.25">
      <c r="B246" s="443"/>
      <c r="C246" s="444"/>
      <c r="D246" s="444"/>
      <c r="E246" s="444"/>
      <c r="F246" s="445"/>
      <c r="G246" s="445"/>
      <c r="H246" s="445"/>
      <c r="I246" s="446"/>
      <c r="M246" s="445"/>
      <c r="N246" s="445"/>
    </row>
    <row r="247" spans="2:14" ht="15" customHeight="1" x14ac:dyDescent="0.25">
      <c r="B247" s="718" t="s">
        <v>574</v>
      </c>
      <c r="C247" s="718"/>
      <c r="D247" s="444"/>
      <c r="E247" s="444"/>
      <c r="F247" s="445"/>
      <c r="G247" s="445"/>
      <c r="H247" s="445"/>
      <c r="I247" s="446"/>
      <c r="M247" s="445"/>
      <c r="N247" s="445"/>
    </row>
    <row r="248" spans="2:14" x14ac:dyDescent="0.25">
      <c r="B248" s="718"/>
      <c r="C248" s="718"/>
      <c r="D248" s="444"/>
      <c r="E248" s="444"/>
      <c r="F248" s="445" t="s">
        <v>568</v>
      </c>
      <c r="G248" s="445"/>
      <c r="H248" s="445"/>
      <c r="I248" s="446"/>
      <c r="M248" s="445" t="s">
        <v>568</v>
      </c>
      <c r="N248" s="448"/>
    </row>
    <row r="249" spans="2:14" x14ac:dyDescent="0.25">
      <c r="B249" s="443"/>
      <c r="C249" s="444"/>
      <c r="D249" s="444"/>
      <c r="E249" s="444"/>
      <c r="F249" s="448" t="s">
        <v>569</v>
      </c>
      <c r="G249" s="445"/>
      <c r="H249" s="448"/>
      <c r="I249" s="446"/>
      <c r="M249" s="448" t="s">
        <v>570</v>
      </c>
      <c r="N249" s="445"/>
    </row>
    <row r="250" spans="2:14" x14ac:dyDescent="0.25">
      <c r="B250" s="443"/>
      <c r="C250" s="444"/>
      <c r="D250" s="444"/>
      <c r="E250" s="444"/>
      <c r="F250" s="445"/>
      <c r="G250" s="445"/>
      <c r="H250" s="445"/>
      <c r="I250" s="446"/>
      <c r="M250" s="445"/>
      <c r="N250" s="445"/>
    </row>
    <row r="251" spans="2:14" ht="15" customHeight="1" x14ac:dyDescent="0.25">
      <c r="B251" s="718" t="s">
        <v>575</v>
      </c>
      <c r="C251" s="718"/>
      <c r="D251" s="444"/>
      <c r="E251" s="444"/>
      <c r="F251" s="445"/>
      <c r="G251" s="445"/>
      <c r="H251" s="445"/>
      <c r="I251" s="446"/>
      <c r="M251" s="445"/>
      <c r="N251" s="445"/>
    </row>
    <row r="252" spans="2:14" ht="36" customHeight="1" x14ac:dyDescent="0.25">
      <c r="B252" s="718"/>
      <c r="C252" s="718"/>
      <c r="D252" s="444"/>
      <c r="E252" s="444"/>
      <c r="F252" s="445" t="s">
        <v>568</v>
      </c>
      <c r="G252" s="445"/>
      <c r="H252" s="445"/>
      <c r="I252" s="446"/>
      <c r="M252" s="445" t="s">
        <v>568</v>
      </c>
      <c r="N252" s="448"/>
    </row>
    <row r="253" spans="2:14" x14ac:dyDescent="0.25">
      <c r="B253" s="508"/>
      <c r="C253" s="444"/>
      <c r="D253" s="444"/>
      <c r="E253" s="444"/>
      <c r="F253" s="448" t="s">
        <v>569</v>
      </c>
      <c r="G253" s="445"/>
      <c r="H253" s="448"/>
      <c r="I253" s="446"/>
      <c r="M253" s="448" t="s">
        <v>570</v>
      </c>
      <c r="N253" s="445"/>
    </row>
    <row r="254" spans="2:14" x14ac:dyDescent="0.25">
      <c r="B254" s="508"/>
      <c r="C254" s="444"/>
      <c r="D254" s="444"/>
      <c r="E254" s="444"/>
      <c r="F254" s="445"/>
      <c r="G254" s="445"/>
      <c r="H254" s="445"/>
      <c r="I254" s="446"/>
      <c r="M254" s="445"/>
      <c r="N254" s="445"/>
    </row>
    <row r="255" spans="2:14" x14ac:dyDescent="0.25">
      <c r="B255" s="718" t="s">
        <v>576</v>
      </c>
      <c r="C255" s="718"/>
      <c r="D255" s="444"/>
      <c r="E255" s="444"/>
      <c r="F255" s="445" t="s">
        <v>568</v>
      </c>
      <c r="G255" s="445"/>
      <c r="H255" s="445"/>
      <c r="I255" s="446"/>
      <c r="M255" s="445" t="s">
        <v>568</v>
      </c>
      <c r="N255" s="448"/>
    </row>
    <row r="256" spans="2:14" x14ac:dyDescent="0.25">
      <c r="B256" s="718"/>
      <c r="C256" s="718"/>
      <c r="D256" s="444"/>
      <c r="E256" s="444"/>
      <c r="F256" s="448" t="s">
        <v>569</v>
      </c>
      <c r="G256" s="445"/>
      <c r="H256" s="448"/>
      <c r="I256" s="446"/>
      <c r="M256" s="448" t="s">
        <v>570</v>
      </c>
    </row>
    <row r="257" spans="2:14" x14ac:dyDescent="0.25">
      <c r="B257" s="443"/>
      <c r="C257" s="444"/>
      <c r="D257" s="444"/>
      <c r="E257" s="444"/>
      <c r="F257" s="448"/>
      <c r="G257" s="445"/>
      <c r="H257" s="448"/>
      <c r="I257" s="446"/>
      <c r="M257" s="448"/>
      <c r="N257" s="445"/>
    </row>
    <row r="258" spans="2:14" x14ac:dyDescent="0.25">
      <c r="B258" s="443"/>
      <c r="C258" s="444"/>
      <c r="D258" s="444"/>
      <c r="E258" s="444"/>
      <c r="F258" s="448"/>
      <c r="G258" s="445"/>
      <c r="H258" s="448"/>
      <c r="I258" s="446"/>
      <c r="M258" s="448"/>
      <c r="N258" s="445"/>
    </row>
    <row r="259" spans="2:14" x14ac:dyDescent="0.25">
      <c r="B259" s="443"/>
      <c r="C259" s="444"/>
      <c r="D259" s="444"/>
      <c r="E259" s="444"/>
      <c r="F259" s="448"/>
      <c r="G259" s="445"/>
      <c r="H259" s="448"/>
      <c r="I259" s="446"/>
      <c r="M259" s="448"/>
      <c r="N259" s="445"/>
    </row>
    <row r="260" spans="2:14" x14ac:dyDescent="0.25">
      <c r="B260" s="443"/>
      <c r="C260" s="444"/>
      <c r="D260" s="444"/>
      <c r="E260" s="444"/>
      <c r="F260" s="448"/>
      <c r="G260" s="445"/>
      <c r="H260" s="448"/>
      <c r="I260" s="446"/>
      <c r="M260" s="448"/>
      <c r="N260" s="445"/>
    </row>
    <row r="261" spans="2:14" x14ac:dyDescent="0.25">
      <c r="B261" s="443"/>
      <c r="C261" s="444"/>
      <c r="D261" s="444"/>
      <c r="E261" s="444"/>
      <c r="F261" s="448"/>
      <c r="G261" s="445"/>
      <c r="H261" s="448"/>
      <c r="I261" s="446"/>
      <c r="M261" s="448"/>
      <c r="N261" s="445"/>
    </row>
    <row r="262" spans="2:14" x14ac:dyDescent="0.25">
      <c r="B262" s="443"/>
      <c r="C262" s="444"/>
      <c r="D262" s="444"/>
      <c r="E262" s="444"/>
      <c r="F262" s="448"/>
      <c r="G262" s="445"/>
      <c r="H262" s="448"/>
      <c r="I262" s="446"/>
      <c r="M262" s="448"/>
      <c r="N262" s="445"/>
    </row>
    <row r="263" spans="2:14" x14ac:dyDescent="0.25">
      <c r="B263" s="443"/>
      <c r="C263" s="444"/>
      <c r="D263" s="444"/>
      <c r="E263" s="444"/>
      <c r="F263" s="448"/>
      <c r="G263" s="445"/>
      <c r="H263" s="448"/>
      <c r="I263" s="446"/>
      <c r="M263" s="448"/>
      <c r="N263" s="445"/>
    </row>
    <row r="264" spans="2:14" x14ac:dyDescent="0.25">
      <c r="B264" s="443"/>
      <c r="C264" s="444"/>
      <c r="D264" s="444"/>
      <c r="E264" s="444"/>
      <c r="F264" s="448"/>
      <c r="G264" s="445"/>
      <c r="H264" s="448"/>
      <c r="I264" s="446"/>
      <c r="M264" s="448"/>
      <c r="N264" s="445"/>
    </row>
    <row r="265" spans="2:14" x14ac:dyDescent="0.25">
      <c r="B265" s="443"/>
      <c r="C265" s="444"/>
      <c r="D265" s="444"/>
      <c r="E265" s="444"/>
      <c r="F265" s="448"/>
      <c r="G265" s="445"/>
      <c r="H265" s="448"/>
      <c r="I265" s="446"/>
      <c r="M265" s="448"/>
      <c r="N265" s="445"/>
    </row>
    <row r="266" spans="2:14" x14ac:dyDescent="0.25">
      <c r="B266" s="443"/>
      <c r="C266" s="444"/>
      <c r="D266" s="444"/>
      <c r="E266" s="444"/>
      <c r="F266" s="448"/>
      <c r="G266" s="445"/>
      <c r="H266" s="448"/>
      <c r="I266" s="446"/>
      <c r="M266" s="448"/>
      <c r="N266" s="445"/>
    </row>
    <row r="267" spans="2:14" x14ac:dyDescent="0.25">
      <c r="B267" s="443"/>
      <c r="C267" s="444"/>
      <c r="D267" s="444"/>
      <c r="E267" s="444"/>
      <c r="F267" s="448"/>
      <c r="G267" s="445"/>
      <c r="H267" s="448"/>
      <c r="I267" s="446"/>
      <c r="M267" s="448"/>
      <c r="N267" s="445"/>
    </row>
    <row r="268" spans="2:14" x14ac:dyDescent="0.25">
      <c r="B268" s="443"/>
      <c r="C268" s="444"/>
      <c r="D268" s="444"/>
      <c r="E268" s="444"/>
      <c r="F268" s="448"/>
      <c r="G268" s="445"/>
      <c r="H268" s="448"/>
      <c r="I268" s="446"/>
      <c r="M268" s="448"/>
      <c r="N268" s="445"/>
    </row>
    <row r="269" spans="2:14" x14ac:dyDescent="0.25">
      <c r="B269" s="443"/>
      <c r="C269" s="444"/>
      <c r="D269" s="444"/>
      <c r="E269" s="444"/>
      <c r="F269" s="448"/>
      <c r="G269" s="445"/>
      <c r="H269" s="448"/>
      <c r="I269" s="446"/>
      <c r="M269" s="448"/>
      <c r="N269" s="445"/>
    </row>
    <row r="270" spans="2:14" x14ac:dyDescent="0.25">
      <c r="B270" s="443"/>
      <c r="C270" s="444"/>
      <c r="D270" s="444"/>
      <c r="E270" s="444"/>
      <c r="F270" s="448"/>
      <c r="G270" s="445"/>
      <c r="H270" s="448"/>
      <c r="I270" s="446"/>
      <c r="M270" s="448"/>
      <c r="N270" s="445"/>
    </row>
    <row r="271" spans="2:14" x14ac:dyDescent="0.25">
      <c r="B271" s="443"/>
      <c r="C271" s="444"/>
      <c r="D271" s="444"/>
      <c r="E271" s="444"/>
      <c r="F271" s="448"/>
      <c r="G271" s="445"/>
      <c r="H271" s="448"/>
      <c r="I271" s="446"/>
      <c r="M271" s="448"/>
      <c r="N271" s="445"/>
    </row>
    <row r="272" spans="2:14" x14ac:dyDescent="0.25">
      <c r="B272" s="443"/>
      <c r="C272" s="444"/>
      <c r="D272" s="444"/>
      <c r="E272" s="444"/>
      <c r="F272" s="445"/>
      <c r="G272" s="445"/>
      <c r="H272" s="445"/>
      <c r="I272" s="446"/>
      <c r="M272" s="445"/>
      <c r="N272" s="448"/>
    </row>
    <row r="273" spans="2:14" x14ac:dyDescent="0.25">
      <c r="B273" s="443"/>
      <c r="C273" s="444"/>
      <c r="D273" s="444"/>
      <c r="E273" s="444"/>
      <c r="F273" s="448"/>
      <c r="G273" s="445"/>
      <c r="H273" s="448"/>
      <c r="I273" s="446"/>
      <c r="M273" s="448"/>
      <c r="N273" s="445"/>
    </row>
    <row r="274" spans="2:14" x14ac:dyDescent="0.25">
      <c r="B274" s="443"/>
      <c r="C274" s="444"/>
      <c r="D274" s="444"/>
      <c r="E274" s="444"/>
      <c r="F274" s="445"/>
      <c r="G274" s="445"/>
      <c r="H274" s="445"/>
      <c r="I274" s="446"/>
      <c r="M274" s="445"/>
      <c r="N274" s="445"/>
    </row>
    <row r="275" spans="2:14" x14ac:dyDescent="0.25">
      <c r="B275" s="718"/>
      <c r="C275" s="718"/>
      <c r="D275" s="444"/>
      <c r="E275" s="444"/>
      <c r="F275" s="445"/>
      <c r="G275" s="445"/>
      <c r="H275" s="445"/>
      <c r="I275" s="446"/>
      <c r="M275" s="445"/>
      <c r="N275" s="445"/>
    </row>
    <row r="276" spans="2:14" x14ac:dyDescent="0.25">
      <c r="B276" s="718"/>
      <c r="C276" s="718"/>
      <c r="D276" s="444"/>
      <c r="E276" s="444"/>
      <c r="F276" s="445"/>
      <c r="G276" s="445"/>
      <c r="H276" s="445"/>
      <c r="I276" s="446"/>
      <c r="M276" s="445"/>
      <c r="N276" s="448"/>
    </row>
    <row r="277" spans="2:14" x14ac:dyDescent="0.25">
      <c r="B277" s="443"/>
      <c r="C277" s="444"/>
      <c r="D277" s="444"/>
      <c r="E277" s="444"/>
      <c r="F277" s="448"/>
      <c r="G277" s="445"/>
      <c r="H277" s="448"/>
      <c r="I277" s="446"/>
      <c r="M277" s="448"/>
      <c r="N277" s="445"/>
    </row>
    <row r="278" spans="2:14" x14ac:dyDescent="0.25">
      <c r="B278" s="443"/>
      <c r="C278" s="444"/>
      <c r="D278" s="444"/>
      <c r="E278" s="444"/>
      <c r="F278" s="445"/>
      <c r="G278" s="445"/>
      <c r="H278" s="445"/>
      <c r="I278" s="446"/>
      <c r="M278" s="445"/>
      <c r="N278" s="445"/>
    </row>
    <row r="279" spans="2:14" x14ac:dyDescent="0.25">
      <c r="B279" s="718"/>
      <c r="C279" s="718"/>
      <c r="D279" s="444"/>
      <c r="E279" s="444"/>
      <c r="F279" s="445"/>
      <c r="G279" s="445"/>
      <c r="H279" s="445"/>
      <c r="I279" s="446"/>
      <c r="M279" s="445"/>
      <c r="N279" s="445"/>
    </row>
    <row r="280" spans="2:14" ht="33.75" customHeight="1" x14ac:dyDescent="0.25">
      <c r="B280" s="718"/>
      <c r="C280" s="718"/>
      <c r="D280" s="444"/>
      <c r="E280" s="444"/>
      <c r="F280" s="445"/>
      <c r="G280" s="445"/>
      <c r="H280" s="445"/>
      <c r="I280" s="446"/>
      <c r="M280" s="445"/>
      <c r="N280" s="448"/>
    </row>
    <row r="281" spans="2:14" x14ac:dyDescent="0.25">
      <c r="B281" s="449"/>
      <c r="C281" s="444"/>
      <c r="D281" s="444"/>
      <c r="E281" s="444"/>
      <c r="F281" s="448"/>
      <c r="G281" s="445"/>
      <c r="H281" s="448"/>
      <c r="I281" s="446"/>
      <c r="M281" s="448"/>
      <c r="N281" s="445"/>
    </row>
    <row r="282" spans="2:14" x14ac:dyDescent="0.25">
      <c r="B282" s="449"/>
      <c r="C282" s="444"/>
      <c r="D282" s="444"/>
      <c r="E282" s="444"/>
      <c r="F282" s="445"/>
      <c r="G282" s="445"/>
      <c r="H282" s="445"/>
      <c r="I282" s="446"/>
      <c r="M282" s="445"/>
      <c r="N282" s="445"/>
    </row>
    <row r="283" spans="2:14" x14ac:dyDescent="0.25">
      <c r="B283" s="718"/>
      <c r="C283" s="718"/>
      <c r="D283" s="444"/>
      <c r="E283" s="444"/>
      <c r="F283" s="445"/>
      <c r="G283" s="445"/>
      <c r="H283" s="445"/>
      <c r="I283" s="446"/>
      <c r="M283" s="445"/>
      <c r="N283" s="448"/>
    </row>
    <row r="284" spans="2:14" x14ac:dyDescent="0.25">
      <c r="B284" s="718"/>
      <c r="C284" s="718"/>
      <c r="D284" s="444"/>
      <c r="E284" s="444"/>
      <c r="F284" s="448"/>
      <c r="G284" s="445"/>
      <c r="H284" s="448"/>
      <c r="I284" s="446"/>
      <c r="M284" s="448"/>
    </row>
  </sheetData>
  <mergeCells count="224">
    <mergeCell ref="A180:B180"/>
    <mergeCell ref="A158:B158"/>
    <mergeCell ref="A176:A179"/>
    <mergeCell ref="B176:B179"/>
    <mergeCell ref="C176:H176"/>
    <mergeCell ref="I176:J178"/>
    <mergeCell ref="K176:AB176"/>
    <mergeCell ref="C177:D178"/>
    <mergeCell ref="E177:F178"/>
    <mergeCell ref="G177:H178"/>
    <mergeCell ref="K177:P177"/>
    <mergeCell ref="Q177:V177"/>
    <mergeCell ref="W177:AB177"/>
    <mergeCell ref="K178:L178"/>
    <mergeCell ref="M178:N178"/>
    <mergeCell ref="O178:P178"/>
    <mergeCell ref="Q178:R178"/>
    <mergeCell ref="S178:T178"/>
    <mergeCell ref="U178:V178"/>
    <mergeCell ref="W178:X178"/>
    <mergeCell ref="Y178:Z178"/>
    <mergeCell ref="AA178:AB178"/>
    <mergeCell ref="A136:B136"/>
    <mergeCell ref="A154:A157"/>
    <mergeCell ref="B154:B157"/>
    <mergeCell ref="C154:H154"/>
    <mergeCell ref="I154:J156"/>
    <mergeCell ref="K154:AB154"/>
    <mergeCell ref="C155:D156"/>
    <mergeCell ref="E155:F156"/>
    <mergeCell ref="G155:H156"/>
    <mergeCell ref="K155:P155"/>
    <mergeCell ref="Q155:V155"/>
    <mergeCell ref="W155:AB155"/>
    <mergeCell ref="K156:L156"/>
    <mergeCell ref="M156:N156"/>
    <mergeCell ref="O156:P156"/>
    <mergeCell ref="Q156:R156"/>
    <mergeCell ref="S156:T156"/>
    <mergeCell ref="U156:V156"/>
    <mergeCell ref="W156:X156"/>
    <mergeCell ref="Y156:Z156"/>
    <mergeCell ref="AA156:AB156"/>
    <mergeCell ref="A132:A135"/>
    <mergeCell ref="B132:B135"/>
    <mergeCell ref="C132:H132"/>
    <mergeCell ref="I132:J134"/>
    <mergeCell ref="K132:AB132"/>
    <mergeCell ref="C133:D134"/>
    <mergeCell ref="E133:F134"/>
    <mergeCell ref="G133:H134"/>
    <mergeCell ref="K133:P133"/>
    <mergeCell ref="Q133:V133"/>
    <mergeCell ref="W133:AB133"/>
    <mergeCell ref="K134:L134"/>
    <mergeCell ref="M134:N134"/>
    <mergeCell ref="O134:P134"/>
    <mergeCell ref="Q134:R134"/>
    <mergeCell ref="S134:T134"/>
    <mergeCell ref="U134:V134"/>
    <mergeCell ref="W134:X134"/>
    <mergeCell ref="Y134:Z134"/>
    <mergeCell ref="AA134:AB134"/>
    <mergeCell ref="A114:B114"/>
    <mergeCell ref="B247:C248"/>
    <mergeCell ref="B251:C252"/>
    <mergeCell ref="B255:C256"/>
    <mergeCell ref="A110:A113"/>
    <mergeCell ref="B110:B113"/>
    <mergeCell ref="C110:H110"/>
    <mergeCell ref="I110:J112"/>
    <mergeCell ref="K110:AB110"/>
    <mergeCell ref="C111:D112"/>
    <mergeCell ref="E111:F112"/>
    <mergeCell ref="G111:H112"/>
    <mergeCell ref="K111:P111"/>
    <mergeCell ref="Q111:V111"/>
    <mergeCell ref="W111:AB111"/>
    <mergeCell ref="K112:L112"/>
    <mergeCell ref="M112:N112"/>
    <mergeCell ref="O112:P112"/>
    <mergeCell ref="Q112:R112"/>
    <mergeCell ref="S112:T112"/>
    <mergeCell ref="U112:V112"/>
    <mergeCell ref="W112:X112"/>
    <mergeCell ref="Y112:Z112"/>
    <mergeCell ref="AA112:AB112"/>
    <mergeCell ref="Y91:Z91"/>
    <mergeCell ref="AA91:AB91"/>
    <mergeCell ref="A93:B93"/>
    <mergeCell ref="A89:A92"/>
    <mergeCell ref="B89:B92"/>
    <mergeCell ref="C89:H89"/>
    <mergeCell ref="I89:J91"/>
    <mergeCell ref="K89:AB89"/>
    <mergeCell ref="C90:D91"/>
    <mergeCell ref="E90:F91"/>
    <mergeCell ref="G90:H91"/>
    <mergeCell ref="K90:P90"/>
    <mergeCell ref="Q90:V90"/>
    <mergeCell ref="W90:AB90"/>
    <mergeCell ref="K91:L91"/>
    <mergeCell ref="M91:N91"/>
    <mergeCell ref="O91:P91"/>
    <mergeCell ref="Q91:R91"/>
    <mergeCell ref="S91:T91"/>
    <mergeCell ref="Y70:Z70"/>
    <mergeCell ref="AA70:AB70"/>
    <mergeCell ref="A72:B72"/>
    <mergeCell ref="A68:A71"/>
    <mergeCell ref="B68:B71"/>
    <mergeCell ref="C68:H68"/>
    <mergeCell ref="I68:J70"/>
    <mergeCell ref="K68:AB68"/>
    <mergeCell ref="C69:D70"/>
    <mergeCell ref="E69:F70"/>
    <mergeCell ref="G69:H70"/>
    <mergeCell ref="K69:P69"/>
    <mergeCell ref="Q69:V69"/>
    <mergeCell ref="W69:AB69"/>
    <mergeCell ref="K70:L70"/>
    <mergeCell ref="M70:N70"/>
    <mergeCell ref="O70:P70"/>
    <mergeCell ref="Q70:R70"/>
    <mergeCell ref="S70:T70"/>
    <mergeCell ref="B275:C276"/>
    <mergeCell ref="B279:C280"/>
    <mergeCell ref="B283:C284"/>
    <mergeCell ref="U7:V7"/>
    <mergeCell ref="W7:X7"/>
    <mergeCell ref="O7:P7"/>
    <mergeCell ref="Q7:R7"/>
    <mergeCell ref="S7:T7"/>
    <mergeCell ref="A51:B51"/>
    <mergeCell ref="I47:J49"/>
    <mergeCell ref="A47:A50"/>
    <mergeCell ref="B47:B50"/>
    <mergeCell ref="C47:H47"/>
    <mergeCell ref="C48:D49"/>
    <mergeCell ref="E48:F49"/>
    <mergeCell ref="G48:H49"/>
    <mergeCell ref="A30:B30"/>
    <mergeCell ref="U70:V70"/>
    <mergeCell ref="W70:X70"/>
    <mergeCell ref="U91:V91"/>
    <mergeCell ref="W91:X91"/>
    <mergeCell ref="A9:B9"/>
    <mergeCell ref="A5:A8"/>
    <mergeCell ref="B5:B8"/>
    <mergeCell ref="C5:H5"/>
    <mergeCell ref="I5:J7"/>
    <mergeCell ref="K5:AB5"/>
    <mergeCell ref="C6:D7"/>
    <mergeCell ref="E6:F7"/>
    <mergeCell ref="G6:H7"/>
    <mergeCell ref="K6:P6"/>
    <mergeCell ref="Q6:V6"/>
    <mergeCell ref="W6:AB6"/>
    <mergeCell ref="K7:L7"/>
    <mergeCell ref="M7:N7"/>
    <mergeCell ref="AH7:AN7"/>
    <mergeCell ref="AV7:BB7"/>
    <mergeCell ref="AO7:AU7"/>
    <mergeCell ref="W49:X49"/>
    <mergeCell ref="Y49:Z49"/>
    <mergeCell ref="AA49:AB49"/>
    <mergeCell ref="AA46:AB46"/>
    <mergeCell ref="K47:AB47"/>
    <mergeCell ref="K48:P48"/>
    <mergeCell ref="Q48:V48"/>
    <mergeCell ref="W48:AB48"/>
    <mergeCell ref="K49:L49"/>
    <mergeCell ref="M49:N49"/>
    <mergeCell ref="O49:P49"/>
    <mergeCell ref="Q49:R49"/>
    <mergeCell ref="S49:T49"/>
    <mergeCell ref="U49:V49"/>
    <mergeCell ref="Y7:Z7"/>
    <mergeCell ref="AA7:AB7"/>
    <mergeCell ref="Y1:AA1"/>
    <mergeCell ref="A2:AB2"/>
    <mergeCell ref="A3:AB3"/>
    <mergeCell ref="AA25:AB25"/>
    <mergeCell ref="A26:A29"/>
    <mergeCell ref="B26:B29"/>
    <mergeCell ref="C26:H26"/>
    <mergeCell ref="K26:AB26"/>
    <mergeCell ref="C27:D28"/>
    <mergeCell ref="E27:F28"/>
    <mergeCell ref="W28:X28"/>
    <mergeCell ref="Y28:Z28"/>
    <mergeCell ref="AA28:AB28"/>
    <mergeCell ref="G27:H28"/>
    <mergeCell ref="I26:J28"/>
    <mergeCell ref="K27:P27"/>
    <mergeCell ref="Q27:V27"/>
    <mergeCell ref="W27:AB27"/>
    <mergeCell ref="K28:L28"/>
    <mergeCell ref="M28:N28"/>
    <mergeCell ref="O28:P28"/>
    <mergeCell ref="Q28:R28"/>
    <mergeCell ref="S28:T28"/>
    <mergeCell ref="U28:V28"/>
    <mergeCell ref="A202:B202"/>
    <mergeCell ref="A198:A201"/>
    <mergeCell ref="B198:B201"/>
    <mergeCell ref="C198:H198"/>
    <mergeCell ref="I198:J200"/>
    <mergeCell ref="K198:AB198"/>
    <mergeCell ref="C199:D200"/>
    <mergeCell ref="E199:F200"/>
    <mergeCell ref="G199:H200"/>
    <mergeCell ref="K199:P199"/>
    <mergeCell ref="Q199:V199"/>
    <mergeCell ref="W199:AB199"/>
    <mergeCell ref="K200:L200"/>
    <mergeCell ref="M200:N200"/>
    <mergeCell ref="O200:P200"/>
    <mergeCell ref="Q200:R200"/>
    <mergeCell ref="S200:T200"/>
    <mergeCell ref="U200:V200"/>
    <mergeCell ref="W200:X200"/>
    <mergeCell ref="Y200:Z200"/>
    <mergeCell ref="AA200:AB200"/>
  </mergeCells>
  <pageMargins left="0.7" right="0.7" top="0.75" bottom="0.75" header="0.3" footer="0.3"/>
  <pageSetup paperSize="9" scale="25" orientation="portrait" verticalDpi="300" r:id="rId1"/>
  <colBreaks count="1" manualBreakCount="1">
    <brk id="2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8"/>
  <sheetViews>
    <sheetView view="pageBreakPreview" topLeftCell="A167" zoomScale="85" zoomScaleNormal="100" zoomScaleSheetLayoutView="85" workbookViewId="0">
      <selection activeCell="AG16" sqref="AG16"/>
    </sheetView>
  </sheetViews>
  <sheetFormatPr defaultRowHeight="15" x14ac:dyDescent="0.25"/>
  <cols>
    <col min="1" max="1" width="4.140625" style="286" bestFit="1" customWidth="1"/>
    <col min="2" max="2" width="22.140625" style="286" bestFit="1" customWidth="1"/>
    <col min="3" max="3" width="13.85546875" style="286" bestFit="1" customWidth="1"/>
    <col min="4" max="4" width="8.85546875" style="286" bestFit="1" customWidth="1"/>
    <col min="5" max="5" width="9.28515625" style="286" bestFit="1" customWidth="1"/>
    <col min="6" max="6" width="13.5703125" style="286" bestFit="1" customWidth="1"/>
    <col min="7" max="7" width="10.28515625" style="286" customWidth="1"/>
    <col min="8" max="8" width="16.140625" style="286" customWidth="1"/>
    <col min="9" max="9" width="8.85546875" style="286" bestFit="1" customWidth="1"/>
    <col min="10" max="10" width="8.140625" style="286" bestFit="1" customWidth="1"/>
    <col min="11" max="11" width="8.85546875" style="286" bestFit="1" customWidth="1"/>
    <col min="12" max="12" width="9.140625" style="286" bestFit="1" customWidth="1"/>
    <col min="13" max="13" width="13.85546875" style="286" bestFit="1" customWidth="1"/>
    <col min="14" max="14" width="11.85546875" style="286" customWidth="1"/>
    <col min="15" max="15" width="9.28515625" style="286" bestFit="1" customWidth="1"/>
    <col min="16" max="16" width="13.5703125" style="286" bestFit="1" customWidth="1"/>
    <col min="17" max="17" width="14" style="286" bestFit="1" customWidth="1"/>
    <col min="18" max="22" width="9.140625" style="286"/>
    <col min="23" max="23" width="11" style="286" customWidth="1"/>
    <col min="24" max="24" width="11.140625" style="286" bestFit="1" customWidth="1"/>
    <col min="25" max="16384" width="9.140625" style="286"/>
  </cols>
  <sheetData>
    <row r="1" spans="1:19" ht="20.25" x14ac:dyDescent="0.25">
      <c r="I1" s="314"/>
      <c r="J1" s="314"/>
      <c r="K1" s="314"/>
      <c r="L1" s="314"/>
      <c r="M1" s="314"/>
      <c r="N1" s="314"/>
      <c r="O1" s="697" t="s">
        <v>208</v>
      </c>
      <c r="P1" s="697"/>
      <c r="Q1" s="697"/>
    </row>
    <row r="2" spans="1:19" ht="64.5" customHeight="1" x14ac:dyDescent="0.25">
      <c r="A2" s="733" t="s">
        <v>209</v>
      </c>
      <c r="B2" s="733"/>
      <c r="C2" s="733"/>
      <c r="D2" s="733"/>
      <c r="E2" s="733"/>
      <c r="F2" s="733"/>
      <c r="G2" s="733"/>
      <c r="H2" s="733"/>
      <c r="I2" s="733"/>
      <c r="J2" s="733"/>
      <c r="K2" s="733"/>
      <c r="L2" s="733"/>
      <c r="M2" s="733"/>
      <c r="N2" s="733"/>
      <c r="O2" s="733"/>
      <c r="P2" s="733"/>
      <c r="Q2" s="733"/>
    </row>
    <row r="3" spans="1:19" ht="25.5" x14ac:dyDescent="0.35">
      <c r="A3" s="734" t="s">
        <v>193</v>
      </c>
      <c r="B3" s="734"/>
      <c r="C3" s="734"/>
      <c r="D3" s="734"/>
      <c r="E3" s="734"/>
      <c r="F3" s="734"/>
      <c r="G3" s="734"/>
      <c r="H3" s="734"/>
      <c r="I3" s="734"/>
      <c r="J3" s="734"/>
      <c r="K3" s="734"/>
      <c r="L3" s="734"/>
      <c r="M3" s="734"/>
      <c r="N3" s="734"/>
      <c r="O3" s="734"/>
      <c r="P3" s="734"/>
      <c r="Q3" s="734"/>
    </row>
    <row r="4" spans="1:19" ht="26.25" thickBot="1" x14ac:dyDescent="0.4">
      <c r="A4" s="401"/>
      <c r="B4" s="421" t="s">
        <v>563</v>
      </c>
      <c r="C4" s="401"/>
      <c r="D4" s="401"/>
      <c r="E4" s="401"/>
      <c r="F4" s="401"/>
      <c r="G4" s="401"/>
      <c r="H4" s="401"/>
      <c r="I4" s="401"/>
      <c r="J4" s="401"/>
      <c r="K4" s="401"/>
      <c r="L4" s="401"/>
      <c r="M4" s="401"/>
      <c r="N4" s="401"/>
      <c r="O4" s="401"/>
      <c r="P4" s="401"/>
      <c r="Q4" s="401"/>
    </row>
    <row r="5" spans="1:19" ht="16.5" thickBot="1" x14ac:dyDescent="0.3">
      <c r="A5" s="701" t="s">
        <v>0</v>
      </c>
      <c r="B5" s="705" t="s">
        <v>211</v>
      </c>
      <c r="C5" s="673" t="s">
        <v>212</v>
      </c>
      <c r="D5" s="721"/>
      <c r="E5" s="721"/>
      <c r="F5" s="721"/>
      <c r="G5" s="674"/>
      <c r="H5" s="723" t="s">
        <v>128</v>
      </c>
      <c r="I5" s="724"/>
      <c r="J5" s="724"/>
      <c r="K5" s="724"/>
      <c r="L5" s="724"/>
      <c r="M5" s="724"/>
      <c r="N5" s="724"/>
      <c r="O5" s="724"/>
      <c r="P5" s="724"/>
      <c r="Q5" s="725"/>
    </row>
    <row r="6" spans="1:19" ht="15.75" x14ac:dyDescent="0.25">
      <c r="A6" s="702"/>
      <c r="B6" s="706"/>
      <c r="C6" s="677"/>
      <c r="D6" s="722"/>
      <c r="E6" s="722"/>
      <c r="F6" s="722"/>
      <c r="G6" s="678"/>
      <c r="H6" s="726" t="s">
        <v>213</v>
      </c>
      <c r="I6" s="726"/>
      <c r="J6" s="726"/>
      <c r="K6" s="726"/>
      <c r="L6" s="726"/>
      <c r="M6" s="727" t="s">
        <v>214</v>
      </c>
      <c r="N6" s="726"/>
      <c r="O6" s="726"/>
      <c r="P6" s="726"/>
      <c r="Q6" s="728"/>
    </row>
    <row r="7" spans="1:19" ht="15.75" x14ac:dyDescent="0.25">
      <c r="A7" s="703"/>
      <c r="B7" s="707"/>
      <c r="C7" s="682" t="s">
        <v>143</v>
      </c>
      <c r="D7" s="683"/>
      <c r="E7" s="686" t="s">
        <v>198</v>
      </c>
      <c r="F7" s="683"/>
      <c r="G7" s="729" t="s">
        <v>199</v>
      </c>
      <c r="H7" s="709" t="s">
        <v>143</v>
      </c>
      <c r="I7" s="683"/>
      <c r="J7" s="686" t="s">
        <v>198</v>
      </c>
      <c r="K7" s="683"/>
      <c r="L7" s="686" t="s">
        <v>199</v>
      </c>
      <c r="M7" s="682" t="s">
        <v>143</v>
      </c>
      <c r="N7" s="683"/>
      <c r="O7" s="686" t="s">
        <v>198</v>
      </c>
      <c r="P7" s="683"/>
      <c r="Q7" s="400" t="s">
        <v>199</v>
      </c>
    </row>
    <row r="8" spans="1:19" ht="16.5" thickBot="1" x14ac:dyDescent="0.3">
      <c r="A8" s="703"/>
      <c r="B8" s="707"/>
      <c r="C8" s="398" t="s">
        <v>203</v>
      </c>
      <c r="D8" s="319" t="s">
        <v>204</v>
      </c>
      <c r="E8" s="319" t="s">
        <v>203</v>
      </c>
      <c r="F8" s="319" t="s">
        <v>204</v>
      </c>
      <c r="G8" s="730"/>
      <c r="H8" s="320" t="s">
        <v>203</v>
      </c>
      <c r="I8" s="319" t="s">
        <v>204</v>
      </c>
      <c r="J8" s="319" t="s">
        <v>203</v>
      </c>
      <c r="K8" s="319" t="s">
        <v>204</v>
      </c>
      <c r="L8" s="731"/>
      <c r="M8" s="398" t="s">
        <v>203</v>
      </c>
      <c r="N8" s="319" t="s">
        <v>204</v>
      </c>
      <c r="O8" s="319" t="s">
        <v>203</v>
      </c>
      <c r="P8" s="319" t="s">
        <v>204</v>
      </c>
      <c r="Q8" s="399" t="s">
        <v>203</v>
      </c>
    </row>
    <row r="9" spans="1:19" ht="16.5" thickBot="1" x14ac:dyDescent="0.3">
      <c r="A9" s="719" t="s">
        <v>163</v>
      </c>
      <c r="B9" s="720"/>
      <c r="C9" s="412">
        <f>SUM(C10:C22)</f>
        <v>568</v>
      </c>
      <c r="D9" s="370">
        <f>SUM(D10:D22)</f>
        <v>0</v>
      </c>
      <c r="E9" s="370">
        <f>SUM(E10:E22)</f>
        <v>866</v>
      </c>
      <c r="F9" s="370">
        <f>SUM(F10:F22)</f>
        <v>909991</v>
      </c>
      <c r="G9" s="322">
        <f>+E9/C9</f>
        <v>1.5246478873239437</v>
      </c>
      <c r="H9" s="413">
        <f>SUM(H10:H22)</f>
        <v>145</v>
      </c>
      <c r="I9" s="370">
        <f>SUM(I10:I22)</f>
        <v>0</v>
      </c>
      <c r="J9" s="370">
        <f>SUM(J10:J22)</f>
        <v>2</v>
      </c>
      <c r="K9" s="370">
        <f>SUM(K10:K22)</f>
        <v>8099</v>
      </c>
      <c r="L9" s="322">
        <f>+J9/H9</f>
        <v>1.3793103448275862E-2</v>
      </c>
      <c r="M9" s="412">
        <f>SUM(M10:M22)</f>
        <v>423</v>
      </c>
      <c r="N9" s="370">
        <f>SUM(N10:N22)</f>
        <v>0</v>
      </c>
      <c r="O9" s="370">
        <f>SUM(O10:O22)</f>
        <v>864</v>
      </c>
      <c r="P9" s="370">
        <f>SUM(P10:P22)</f>
        <v>901892</v>
      </c>
      <c r="Q9" s="322">
        <f>+O9/M9</f>
        <v>2.0425531914893615</v>
      </c>
    </row>
    <row r="10" spans="1:19" ht="15.75" x14ac:dyDescent="0.25">
      <c r="A10" s="323">
        <v>1</v>
      </c>
      <c r="B10" s="324" t="s">
        <v>205</v>
      </c>
      <c r="C10" s="323">
        <f>+H10+M10</f>
        <v>77</v>
      </c>
      <c r="D10" s="325">
        <f>+I10+N10</f>
        <v>0</v>
      </c>
      <c r="E10" s="366">
        <f>+J10+O10</f>
        <v>48</v>
      </c>
      <c r="F10" s="325">
        <f>+K10+P10</f>
        <v>48000</v>
      </c>
      <c r="G10" s="326">
        <f t="shared" ref="G10:G21" si="0">+E10/C10</f>
        <v>0.62337662337662336</v>
      </c>
      <c r="H10" s="327">
        <v>14</v>
      </c>
      <c r="I10" s="407">
        <f>+I30+I50+I70+I90+I110</f>
        <v>0</v>
      </c>
      <c r="J10" s="407">
        <f t="shared" ref="J10:K22" si="1">+J30+J50+J70+J90+J110+J130+J150+J170</f>
        <v>0</v>
      </c>
      <c r="K10" s="572">
        <f t="shared" si="1"/>
        <v>0</v>
      </c>
      <c r="L10" s="328">
        <f t="shared" ref="L10:L21" si="2">+J10/H10</f>
        <v>0</v>
      </c>
      <c r="M10" s="371">
        <v>63</v>
      </c>
      <c r="N10" s="407">
        <f t="shared" ref="N10:N22" si="3">+N30+N50+N70+N90+N110</f>
        <v>0</v>
      </c>
      <c r="O10" s="598">
        <f>+O30+O50+O70+O90+O110+O130+O150+O170+O191</f>
        <v>48</v>
      </c>
      <c r="P10" s="572">
        <f>+P30+P50+P70+P90+P110+P130+P150+P170+P191</f>
        <v>48000</v>
      </c>
      <c r="Q10" s="326">
        <f t="shared" ref="Q10:Q21" si="4">+O10/M10</f>
        <v>0.76190476190476186</v>
      </c>
      <c r="S10" s="573">
        <f>+F10/1000</f>
        <v>48</v>
      </c>
    </row>
    <row r="11" spans="1:19" ht="15.75" x14ac:dyDescent="0.25">
      <c r="A11" s="329">
        <v>2</v>
      </c>
      <c r="B11" s="303" t="s">
        <v>147</v>
      </c>
      <c r="C11" s="329">
        <f t="shared" ref="C11:C22" si="5">+H11+M11</f>
        <v>31</v>
      </c>
      <c r="D11" s="330">
        <f t="shared" ref="D11:D21" si="6">+I11+N11</f>
        <v>0</v>
      </c>
      <c r="E11" s="367">
        <f t="shared" ref="E11:E21" si="7">+J11+O11</f>
        <v>40</v>
      </c>
      <c r="F11" s="330">
        <f t="shared" ref="F11:F21" si="8">+K11+P11</f>
        <v>69050</v>
      </c>
      <c r="G11" s="331">
        <f t="shared" si="0"/>
        <v>1.2903225806451613</v>
      </c>
      <c r="H11" s="332">
        <v>8</v>
      </c>
      <c r="I11" s="407">
        <f t="shared" ref="I11:I22" si="9">+I31+I51+I71+I91+I111</f>
        <v>0</v>
      </c>
      <c r="J11" s="407">
        <f t="shared" si="1"/>
        <v>0</v>
      </c>
      <c r="K11" s="572">
        <f t="shared" si="1"/>
        <v>0</v>
      </c>
      <c r="L11" s="333">
        <f t="shared" si="2"/>
        <v>0</v>
      </c>
      <c r="M11" s="329">
        <v>23</v>
      </c>
      <c r="N11" s="407">
        <f t="shared" si="3"/>
        <v>0</v>
      </c>
      <c r="O11" s="598">
        <f t="shared" ref="O11:O22" si="10">+O31+O51+O71+O91+O111+O131+O151+O171+O192</f>
        <v>40</v>
      </c>
      <c r="P11" s="572">
        <f t="shared" ref="P11:P22" si="11">+P31+P51+P71+P91+P111+P131+P151+P171+P192</f>
        <v>69050</v>
      </c>
      <c r="Q11" s="334">
        <f t="shared" si="4"/>
        <v>1.7391304347826086</v>
      </c>
      <c r="S11" s="573">
        <f t="shared" ref="S11:S22" si="12">+F11/1000</f>
        <v>69.05</v>
      </c>
    </row>
    <row r="12" spans="1:19" ht="15.75" x14ac:dyDescent="0.25">
      <c r="A12" s="329">
        <v>3</v>
      </c>
      <c r="B12" s="303" t="s">
        <v>148</v>
      </c>
      <c r="C12" s="335">
        <f t="shared" si="5"/>
        <v>49</v>
      </c>
      <c r="D12" s="336">
        <f t="shared" si="6"/>
        <v>0</v>
      </c>
      <c r="E12" s="368">
        <f t="shared" si="7"/>
        <v>37</v>
      </c>
      <c r="F12" s="336">
        <f t="shared" si="8"/>
        <v>93150</v>
      </c>
      <c r="G12" s="337">
        <f t="shared" si="0"/>
        <v>0.75510204081632648</v>
      </c>
      <c r="H12" s="338">
        <v>4</v>
      </c>
      <c r="I12" s="407">
        <f t="shared" si="9"/>
        <v>0</v>
      </c>
      <c r="J12" s="407">
        <f t="shared" si="1"/>
        <v>0</v>
      </c>
      <c r="K12" s="572">
        <f t="shared" si="1"/>
        <v>0</v>
      </c>
      <c r="L12" s="333">
        <f t="shared" si="2"/>
        <v>0</v>
      </c>
      <c r="M12" s="335">
        <v>45</v>
      </c>
      <c r="N12" s="407">
        <f t="shared" si="3"/>
        <v>0</v>
      </c>
      <c r="O12" s="598">
        <f t="shared" si="10"/>
        <v>37</v>
      </c>
      <c r="P12" s="572">
        <f t="shared" si="11"/>
        <v>93150</v>
      </c>
      <c r="Q12" s="334">
        <f t="shared" si="4"/>
        <v>0.82222222222222219</v>
      </c>
      <c r="S12" s="573">
        <f t="shared" si="12"/>
        <v>93.15</v>
      </c>
    </row>
    <row r="13" spans="1:19" ht="15.75" x14ac:dyDescent="0.25">
      <c r="A13" s="329">
        <v>4</v>
      </c>
      <c r="B13" s="303" t="s">
        <v>206</v>
      </c>
      <c r="C13" s="335">
        <f t="shared" si="5"/>
        <v>60</v>
      </c>
      <c r="D13" s="336">
        <f t="shared" si="6"/>
        <v>0</v>
      </c>
      <c r="E13" s="368">
        <f t="shared" si="7"/>
        <v>184</v>
      </c>
      <c r="F13" s="336">
        <f t="shared" si="8"/>
        <v>111416</v>
      </c>
      <c r="G13" s="337">
        <f t="shared" si="0"/>
        <v>3.0666666666666669</v>
      </c>
      <c r="H13" s="338">
        <v>12</v>
      </c>
      <c r="I13" s="407">
        <f t="shared" si="9"/>
        <v>0</v>
      </c>
      <c r="J13" s="407">
        <f t="shared" si="1"/>
        <v>0</v>
      </c>
      <c r="K13" s="572">
        <f t="shared" si="1"/>
        <v>0</v>
      </c>
      <c r="L13" s="333">
        <f t="shared" si="2"/>
        <v>0</v>
      </c>
      <c r="M13" s="335">
        <v>48</v>
      </c>
      <c r="N13" s="407">
        <f t="shared" si="3"/>
        <v>0</v>
      </c>
      <c r="O13" s="598">
        <f t="shared" si="10"/>
        <v>184</v>
      </c>
      <c r="P13" s="572">
        <f t="shared" si="11"/>
        <v>111416</v>
      </c>
      <c r="Q13" s="334">
        <f t="shared" si="4"/>
        <v>3.8333333333333335</v>
      </c>
      <c r="S13" s="573">
        <f t="shared" si="12"/>
        <v>111.416</v>
      </c>
    </row>
    <row r="14" spans="1:19" ht="15.75" x14ac:dyDescent="0.25">
      <c r="A14" s="329">
        <v>5</v>
      </c>
      <c r="B14" s="303" t="s">
        <v>174</v>
      </c>
      <c r="C14" s="335">
        <f t="shared" si="5"/>
        <v>33</v>
      </c>
      <c r="D14" s="336">
        <f t="shared" si="6"/>
        <v>0</v>
      </c>
      <c r="E14" s="368">
        <f t="shared" si="7"/>
        <v>24</v>
      </c>
      <c r="F14" s="336">
        <f t="shared" si="8"/>
        <v>79301</v>
      </c>
      <c r="G14" s="337">
        <f t="shared" si="0"/>
        <v>0.72727272727272729</v>
      </c>
      <c r="H14" s="338">
        <v>8</v>
      </c>
      <c r="I14" s="407">
        <f t="shared" si="9"/>
        <v>0</v>
      </c>
      <c r="J14" s="407">
        <f t="shared" si="1"/>
        <v>0</v>
      </c>
      <c r="K14" s="572">
        <f t="shared" si="1"/>
        <v>0</v>
      </c>
      <c r="L14" s="333">
        <f t="shared" si="2"/>
        <v>0</v>
      </c>
      <c r="M14" s="335">
        <v>25</v>
      </c>
      <c r="N14" s="407">
        <f t="shared" si="3"/>
        <v>0</v>
      </c>
      <c r="O14" s="598">
        <f t="shared" si="10"/>
        <v>24</v>
      </c>
      <c r="P14" s="572">
        <f t="shared" si="11"/>
        <v>79301</v>
      </c>
      <c r="Q14" s="334">
        <f t="shared" si="4"/>
        <v>0.96</v>
      </c>
      <c r="S14" s="573">
        <f t="shared" si="12"/>
        <v>79.301000000000002</v>
      </c>
    </row>
    <row r="15" spans="1:19" ht="15.75" x14ac:dyDescent="0.25">
      <c r="A15" s="329">
        <v>6</v>
      </c>
      <c r="B15" s="303" t="s">
        <v>151</v>
      </c>
      <c r="C15" s="335">
        <f t="shared" si="5"/>
        <v>34</v>
      </c>
      <c r="D15" s="336">
        <f t="shared" si="6"/>
        <v>0</v>
      </c>
      <c r="E15" s="368">
        <f t="shared" si="7"/>
        <v>20</v>
      </c>
      <c r="F15" s="336">
        <f t="shared" si="8"/>
        <v>41800</v>
      </c>
      <c r="G15" s="337">
        <f t="shared" si="0"/>
        <v>0.58823529411764708</v>
      </c>
      <c r="H15" s="338">
        <v>6</v>
      </c>
      <c r="I15" s="407">
        <f t="shared" si="9"/>
        <v>0</v>
      </c>
      <c r="J15" s="407">
        <f t="shared" si="1"/>
        <v>0</v>
      </c>
      <c r="K15" s="572">
        <f t="shared" si="1"/>
        <v>0</v>
      </c>
      <c r="L15" s="333">
        <f t="shared" si="2"/>
        <v>0</v>
      </c>
      <c r="M15" s="335">
        <v>28</v>
      </c>
      <c r="N15" s="407">
        <f t="shared" si="3"/>
        <v>0</v>
      </c>
      <c r="O15" s="598">
        <f t="shared" si="10"/>
        <v>20</v>
      </c>
      <c r="P15" s="572">
        <f t="shared" si="11"/>
        <v>41800</v>
      </c>
      <c r="Q15" s="334">
        <f t="shared" si="4"/>
        <v>0.7142857142857143</v>
      </c>
      <c r="S15" s="573">
        <f t="shared" si="12"/>
        <v>41.8</v>
      </c>
    </row>
    <row r="16" spans="1:19" ht="15.75" x14ac:dyDescent="0.25">
      <c r="A16" s="329">
        <v>7</v>
      </c>
      <c r="B16" s="303" t="s">
        <v>207</v>
      </c>
      <c r="C16" s="335">
        <f t="shared" si="5"/>
        <v>63</v>
      </c>
      <c r="D16" s="336">
        <f t="shared" si="6"/>
        <v>0</v>
      </c>
      <c r="E16" s="368">
        <f t="shared" si="7"/>
        <v>174</v>
      </c>
      <c r="F16" s="336">
        <f t="shared" si="8"/>
        <v>91225</v>
      </c>
      <c r="G16" s="337">
        <f t="shared" si="0"/>
        <v>2.7619047619047619</v>
      </c>
      <c r="H16" s="338">
        <v>22</v>
      </c>
      <c r="I16" s="407">
        <f t="shared" si="9"/>
        <v>0</v>
      </c>
      <c r="J16" s="407">
        <f t="shared" si="1"/>
        <v>0</v>
      </c>
      <c r="K16" s="572">
        <f t="shared" si="1"/>
        <v>0</v>
      </c>
      <c r="L16" s="333">
        <f t="shared" si="2"/>
        <v>0</v>
      </c>
      <c r="M16" s="335">
        <v>41</v>
      </c>
      <c r="N16" s="407">
        <f t="shared" si="3"/>
        <v>0</v>
      </c>
      <c r="O16" s="598">
        <f t="shared" si="10"/>
        <v>174</v>
      </c>
      <c r="P16" s="572">
        <f t="shared" si="11"/>
        <v>91225</v>
      </c>
      <c r="Q16" s="334">
        <f t="shared" si="4"/>
        <v>4.2439024390243905</v>
      </c>
      <c r="S16" s="573">
        <f t="shared" si="12"/>
        <v>91.224999999999994</v>
      </c>
    </row>
    <row r="17" spans="1:24" ht="15.75" x14ac:dyDescent="0.25">
      <c r="A17" s="329">
        <v>8</v>
      </c>
      <c r="B17" s="303" t="s">
        <v>153</v>
      </c>
      <c r="C17" s="335">
        <f t="shared" si="5"/>
        <v>64</v>
      </c>
      <c r="D17" s="336">
        <f t="shared" si="6"/>
        <v>0</v>
      </c>
      <c r="E17" s="368">
        <f t="shared" si="7"/>
        <v>94</v>
      </c>
      <c r="F17" s="336">
        <f t="shared" si="8"/>
        <v>76950</v>
      </c>
      <c r="G17" s="337">
        <f t="shared" si="0"/>
        <v>1.46875</v>
      </c>
      <c r="H17" s="338">
        <v>13</v>
      </c>
      <c r="I17" s="407">
        <f t="shared" si="9"/>
        <v>0</v>
      </c>
      <c r="J17" s="407">
        <f t="shared" si="1"/>
        <v>0</v>
      </c>
      <c r="K17" s="572">
        <f t="shared" si="1"/>
        <v>0</v>
      </c>
      <c r="L17" s="333">
        <f t="shared" si="2"/>
        <v>0</v>
      </c>
      <c r="M17" s="335">
        <v>51</v>
      </c>
      <c r="N17" s="407">
        <f t="shared" si="3"/>
        <v>0</v>
      </c>
      <c r="O17" s="598">
        <f t="shared" si="10"/>
        <v>94</v>
      </c>
      <c r="P17" s="572">
        <f t="shared" si="11"/>
        <v>76950</v>
      </c>
      <c r="Q17" s="334">
        <f t="shared" si="4"/>
        <v>1.8431372549019607</v>
      </c>
      <c r="S17" s="573">
        <f t="shared" si="12"/>
        <v>76.95</v>
      </c>
    </row>
    <row r="18" spans="1:24" ht="15.75" x14ac:dyDescent="0.25">
      <c r="A18" s="329">
        <v>9</v>
      </c>
      <c r="B18" s="303" t="s">
        <v>154</v>
      </c>
      <c r="C18" s="335">
        <f t="shared" si="5"/>
        <v>30</v>
      </c>
      <c r="D18" s="336">
        <f t="shared" si="6"/>
        <v>0</v>
      </c>
      <c r="E18" s="368">
        <f t="shared" si="7"/>
        <v>77</v>
      </c>
      <c r="F18" s="336">
        <f t="shared" si="8"/>
        <v>92050</v>
      </c>
      <c r="G18" s="337">
        <f t="shared" si="0"/>
        <v>2.5666666666666669</v>
      </c>
      <c r="H18" s="338">
        <v>11</v>
      </c>
      <c r="I18" s="407">
        <f t="shared" si="9"/>
        <v>0</v>
      </c>
      <c r="J18" s="407">
        <f t="shared" si="1"/>
        <v>0</v>
      </c>
      <c r="K18" s="572">
        <f t="shared" si="1"/>
        <v>0</v>
      </c>
      <c r="L18" s="333">
        <f t="shared" si="2"/>
        <v>0</v>
      </c>
      <c r="M18" s="335">
        <v>19</v>
      </c>
      <c r="N18" s="407">
        <f t="shared" si="3"/>
        <v>0</v>
      </c>
      <c r="O18" s="598">
        <f t="shared" si="10"/>
        <v>77</v>
      </c>
      <c r="P18" s="572">
        <f t="shared" si="11"/>
        <v>92050</v>
      </c>
      <c r="Q18" s="334">
        <f t="shared" si="4"/>
        <v>4.0526315789473681</v>
      </c>
      <c r="S18" s="573">
        <f t="shared" si="12"/>
        <v>92.05</v>
      </c>
    </row>
    <row r="19" spans="1:24" ht="15.75" x14ac:dyDescent="0.25">
      <c r="A19" s="329">
        <v>10</v>
      </c>
      <c r="B19" s="303" t="s">
        <v>15</v>
      </c>
      <c r="C19" s="335">
        <f t="shared" si="5"/>
        <v>34</v>
      </c>
      <c r="D19" s="336">
        <f t="shared" si="6"/>
        <v>0</v>
      </c>
      <c r="E19" s="368">
        <f t="shared" si="7"/>
        <v>48</v>
      </c>
      <c r="F19" s="336">
        <f t="shared" si="8"/>
        <v>49150</v>
      </c>
      <c r="G19" s="337">
        <f t="shared" si="0"/>
        <v>1.411764705882353</v>
      </c>
      <c r="H19" s="338">
        <v>7</v>
      </c>
      <c r="I19" s="407">
        <f t="shared" si="9"/>
        <v>0</v>
      </c>
      <c r="J19" s="407">
        <f t="shared" si="1"/>
        <v>0</v>
      </c>
      <c r="K19" s="572">
        <f t="shared" si="1"/>
        <v>0</v>
      </c>
      <c r="L19" s="333">
        <f t="shared" si="2"/>
        <v>0</v>
      </c>
      <c r="M19" s="335">
        <v>27</v>
      </c>
      <c r="N19" s="407">
        <f t="shared" si="3"/>
        <v>0</v>
      </c>
      <c r="O19" s="598">
        <f t="shared" si="10"/>
        <v>48</v>
      </c>
      <c r="P19" s="572">
        <f t="shared" si="11"/>
        <v>49150</v>
      </c>
      <c r="Q19" s="334">
        <f t="shared" si="4"/>
        <v>1.7777777777777777</v>
      </c>
      <c r="S19" s="573">
        <f t="shared" si="12"/>
        <v>49.15</v>
      </c>
    </row>
    <row r="20" spans="1:24" ht="15.75" x14ac:dyDescent="0.25">
      <c r="A20" s="329">
        <v>11</v>
      </c>
      <c r="B20" s="303" t="s">
        <v>155</v>
      </c>
      <c r="C20" s="335">
        <f t="shared" si="5"/>
        <v>27</v>
      </c>
      <c r="D20" s="336">
        <f t="shared" si="6"/>
        <v>0</v>
      </c>
      <c r="E20" s="368">
        <f t="shared" si="7"/>
        <v>12</v>
      </c>
      <c r="F20" s="336">
        <f t="shared" si="8"/>
        <v>20649</v>
      </c>
      <c r="G20" s="337">
        <f t="shared" si="0"/>
        <v>0.44444444444444442</v>
      </c>
      <c r="H20" s="338">
        <v>17</v>
      </c>
      <c r="I20" s="407">
        <f t="shared" si="9"/>
        <v>0</v>
      </c>
      <c r="J20" s="407">
        <f t="shared" si="1"/>
        <v>2</v>
      </c>
      <c r="K20" s="572">
        <f t="shared" si="1"/>
        <v>8099</v>
      </c>
      <c r="L20" s="333">
        <f t="shared" si="2"/>
        <v>0.11764705882352941</v>
      </c>
      <c r="M20" s="335">
        <v>10</v>
      </c>
      <c r="N20" s="407">
        <f t="shared" si="3"/>
        <v>0</v>
      </c>
      <c r="O20" s="598">
        <f t="shared" si="10"/>
        <v>10</v>
      </c>
      <c r="P20" s="572">
        <f t="shared" si="11"/>
        <v>12550</v>
      </c>
      <c r="Q20" s="334">
        <f t="shared" si="4"/>
        <v>1</v>
      </c>
      <c r="S20" s="573">
        <f t="shared" si="12"/>
        <v>20.649000000000001</v>
      </c>
    </row>
    <row r="21" spans="1:24" ht="15.75" x14ac:dyDescent="0.25">
      <c r="A21" s="329">
        <v>12</v>
      </c>
      <c r="B21" s="303" t="s">
        <v>17</v>
      </c>
      <c r="C21" s="329">
        <f t="shared" si="5"/>
        <v>39</v>
      </c>
      <c r="D21" s="330">
        <f t="shared" si="6"/>
        <v>0</v>
      </c>
      <c r="E21" s="367">
        <f t="shared" si="7"/>
        <v>32</v>
      </c>
      <c r="F21" s="330">
        <f t="shared" si="8"/>
        <v>103400</v>
      </c>
      <c r="G21" s="331">
        <f t="shared" si="0"/>
        <v>0.82051282051282048</v>
      </c>
      <c r="H21" s="332">
        <v>9</v>
      </c>
      <c r="I21" s="407">
        <f t="shared" si="9"/>
        <v>0</v>
      </c>
      <c r="J21" s="407">
        <f t="shared" si="1"/>
        <v>0</v>
      </c>
      <c r="K21" s="572">
        <f t="shared" si="1"/>
        <v>0</v>
      </c>
      <c r="L21" s="333">
        <f t="shared" si="2"/>
        <v>0</v>
      </c>
      <c r="M21" s="329">
        <v>30</v>
      </c>
      <c r="N21" s="407">
        <f t="shared" si="3"/>
        <v>0</v>
      </c>
      <c r="O21" s="598">
        <f t="shared" si="10"/>
        <v>32</v>
      </c>
      <c r="P21" s="572">
        <f t="shared" si="11"/>
        <v>103400</v>
      </c>
      <c r="Q21" s="334">
        <f t="shared" si="4"/>
        <v>1.0666666666666667</v>
      </c>
      <c r="S21" s="573">
        <f t="shared" si="12"/>
        <v>103.4</v>
      </c>
    </row>
    <row r="22" spans="1:24" ht="16.5" thickBot="1" x14ac:dyDescent="0.3">
      <c r="A22" s="405">
        <v>13</v>
      </c>
      <c r="B22" s="404" t="s">
        <v>18</v>
      </c>
      <c r="C22" s="339">
        <f t="shared" si="5"/>
        <v>27</v>
      </c>
      <c r="D22" s="340">
        <f>+I22+N22</f>
        <v>0</v>
      </c>
      <c r="E22" s="369">
        <f>+J22+O22</f>
        <v>76</v>
      </c>
      <c r="F22" s="340">
        <f>+K22+P22</f>
        <v>33850</v>
      </c>
      <c r="G22" s="341">
        <f>+E22/C22</f>
        <v>2.8148148148148149</v>
      </c>
      <c r="H22" s="342">
        <v>14</v>
      </c>
      <c r="I22" s="520">
        <f t="shared" si="9"/>
        <v>0</v>
      </c>
      <c r="J22" s="407">
        <f t="shared" si="1"/>
        <v>0</v>
      </c>
      <c r="K22" s="572">
        <f t="shared" si="1"/>
        <v>0</v>
      </c>
      <c r="L22" s="343">
        <f>+J22/H22</f>
        <v>0</v>
      </c>
      <c r="M22" s="339">
        <v>13</v>
      </c>
      <c r="N22" s="520">
        <f t="shared" si="3"/>
        <v>0</v>
      </c>
      <c r="O22" s="598">
        <f t="shared" si="10"/>
        <v>76</v>
      </c>
      <c r="P22" s="572">
        <f t="shared" si="11"/>
        <v>33850</v>
      </c>
      <c r="Q22" s="344">
        <f>+O22/M22</f>
        <v>5.8461538461538458</v>
      </c>
      <c r="S22" s="573">
        <f t="shared" si="12"/>
        <v>33.85</v>
      </c>
    </row>
    <row r="23" spans="1:24" ht="25.5" x14ac:dyDescent="0.35">
      <c r="A23" s="401"/>
      <c r="B23" s="401"/>
      <c r="C23" s="401"/>
      <c r="D23" s="401"/>
      <c r="E23" s="401"/>
      <c r="F23" s="401"/>
      <c r="G23" s="401"/>
      <c r="H23" s="401"/>
      <c r="I23" s="401"/>
      <c r="J23" s="401"/>
      <c r="K23" s="401"/>
      <c r="L23" s="401"/>
      <c r="M23" s="401"/>
      <c r="N23" s="401"/>
      <c r="O23" s="401"/>
      <c r="P23" s="401"/>
      <c r="Q23" s="401"/>
    </row>
    <row r="24" spans="1:24" ht="15.75" thickBot="1" x14ac:dyDescent="0.3">
      <c r="A24" s="315"/>
      <c r="B24" s="372">
        <v>45017</v>
      </c>
      <c r="Q24" s="316" t="s">
        <v>210</v>
      </c>
    </row>
    <row r="25" spans="1:24" ht="16.5" thickBot="1" x14ac:dyDescent="0.3">
      <c r="A25" s="701" t="s">
        <v>0</v>
      </c>
      <c r="B25" s="705" t="s">
        <v>211</v>
      </c>
      <c r="C25" s="673" t="s">
        <v>212</v>
      </c>
      <c r="D25" s="721"/>
      <c r="E25" s="721"/>
      <c r="F25" s="721"/>
      <c r="G25" s="674"/>
      <c r="H25" s="723" t="s">
        <v>128</v>
      </c>
      <c r="I25" s="724"/>
      <c r="J25" s="724"/>
      <c r="K25" s="724"/>
      <c r="L25" s="724"/>
      <c r="M25" s="724"/>
      <c r="N25" s="724"/>
      <c r="O25" s="724"/>
      <c r="P25" s="724"/>
      <c r="Q25" s="725"/>
    </row>
    <row r="26" spans="1:24" ht="41.25" customHeight="1" x14ac:dyDescent="0.25">
      <c r="A26" s="702"/>
      <c r="B26" s="706"/>
      <c r="C26" s="677"/>
      <c r="D26" s="722"/>
      <c r="E26" s="722"/>
      <c r="F26" s="722"/>
      <c r="G26" s="678"/>
      <c r="H26" s="726" t="s">
        <v>213</v>
      </c>
      <c r="I26" s="726"/>
      <c r="J26" s="726"/>
      <c r="K26" s="726"/>
      <c r="L26" s="726"/>
      <c r="M26" s="727" t="s">
        <v>214</v>
      </c>
      <c r="N26" s="726"/>
      <c r="O26" s="726"/>
      <c r="P26" s="726"/>
      <c r="Q26" s="728"/>
    </row>
    <row r="27" spans="1:24" ht="15.75" x14ac:dyDescent="0.25">
      <c r="A27" s="703"/>
      <c r="B27" s="707"/>
      <c r="C27" s="682" t="s">
        <v>143</v>
      </c>
      <c r="D27" s="683"/>
      <c r="E27" s="686" t="s">
        <v>198</v>
      </c>
      <c r="F27" s="683"/>
      <c r="G27" s="729" t="s">
        <v>199</v>
      </c>
      <c r="H27" s="709" t="s">
        <v>143</v>
      </c>
      <c r="I27" s="683"/>
      <c r="J27" s="686" t="s">
        <v>198</v>
      </c>
      <c r="K27" s="683"/>
      <c r="L27" s="686" t="s">
        <v>199</v>
      </c>
      <c r="M27" s="682" t="s">
        <v>143</v>
      </c>
      <c r="N27" s="683"/>
      <c r="O27" s="686" t="s">
        <v>198</v>
      </c>
      <c r="P27" s="683"/>
      <c r="Q27" s="317" t="s">
        <v>199</v>
      </c>
    </row>
    <row r="28" spans="1:24" ht="16.5" thickBot="1" x14ac:dyDescent="0.3">
      <c r="A28" s="703"/>
      <c r="B28" s="707"/>
      <c r="C28" s="318" t="s">
        <v>203</v>
      </c>
      <c r="D28" s="319" t="s">
        <v>204</v>
      </c>
      <c r="E28" s="319" t="s">
        <v>203</v>
      </c>
      <c r="F28" s="319" t="s">
        <v>204</v>
      </c>
      <c r="G28" s="730"/>
      <c r="H28" s="320" t="s">
        <v>203</v>
      </c>
      <c r="I28" s="319" t="s">
        <v>204</v>
      </c>
      <c r="J28" s="319" t="s">
        <v>203</v>
      </c>
      <c r="K28" s="319" t="s">
        <v>204</v>
      </c>
      <c r="L28" s="731"/>
      <c r="M28" s="318" t="s">
        <v>203</v>
      </c>
      <c r="N28" s="319" t="s">
        <v>204</v>
      </c>
      <c r="O28" s="319" t="s">
        <v>203</v>
      </c>
      <c r="P28" s="319" t="s">
        <v>204</v>
      </c>
      <c r="Q28" s="321" t="s">
        <v>203</v>
      </c>
    </row>
    <row r="29" spans="1:24" s="295" customFormat="1" ht="16.5" thickBot="1" x14ac:dyDescent="0.25">
      <c r="A29" s="719" t="s">
        <v>163</v>
      </c>
      <c r="B29" s="720"/>
      <c r="C29" s="412">
        <f>SUM(C30:C42)</f>
        <v>568</v>
      </c>
      <c r="D29" s="370">
        <f t="shared" ref="D29:P29" si="13">SUM(D30:D42)</f>
        <v>0</v>
      </c>
      <c r="E29" s="370">
        <f t="shared" si="13"/>
        <v>71</v>
      </c>
      <c r="F29" s="370">
        <f t="shared" si="13"/>
        <v>76611</v>
      </c>
      <c r="G29" s="322">
        <f>+E29/C29</f>
        <v>0.125</v>
      </c>
      <c r="H29" s="413">
        <f t="shared" si="13"/>
        <v>145</v>
      </c>
      <c r="I29" s="370">
        <f t="shared" si="13"/>
        <v>0</v>
      </c>
      <c r="J29" s="370">
        <f t="shared" si="13"/>
        <v>0</v>
      </c>
      <c r="K29" s="370">
        <f t="shared" si="13"/>
        <v>0</v>
      </c>
      <c r="L29" s="322">
        <f>+J29/H29</f>
        <v>0</v>
      </c>
      <c r="M29" s="412">
        <f t="shared" si="13"/>
        <v>423</v>
      </c>
      <c r="N29" s="370">
        <f t="shared" si="13"/>
        <v>0</v>
      </c>
      <c r="O29" s="370">
        <f t="shared" si="13"/>
        <v>71</v>
      </c>
      <c r="P29" s="370">
        <f t="shared" si="13"/>
        <v>76611</v>
      </c>
      <c r="Q29" s="322">
        <f>+O29/M29</f>
        <v>0.16784869976359337</v>
      </c>
      <c r="R29" s="431"/>
      <c r="S29" s="431"/>
      <c r="T29" s="431"/>
      <c r="U29" s="431"/>
      <c r="V29" s="431"/>
      <c r="W29" s="431"/>
    </row>
    <row r="30" spans="1:24" s="302" customFormat="1" ht="15.75" x14ac:dyDescent="0.25">
      <c r="A30" s="323">
        <v>1</v>
      </c>
      <c r="B30" s="324" t="s">
        <v>205</v>
      </c>
      <c r="C30" s="371">
        <f t="shared" ref="C30:F42" si="14">+H30+M30</f>
        <v>77</v>
      </c>
      <c r="D30" s="366">
        <f t="shared" si="14"/>
        <v>0</v>
      </c>
      <c r="E30" s="366">
        <f t="shared" si="14"/>
        <v>0</v>
      </c>
      <c r="F30" s="366">
        <f t="shared" si="14"/>
        <v>0</v>
      </c>
      <c r="G30" s="326">
        <f t="shared" ref="G30:G41" si="15">+E30/C30</f>
        <v>0</v>
      </c>
      <c r="H30" s="327">
        <v>14</v>
      </c>
      <c r="I30" s="406"/>
      <c r="J30" s="406"/>
      <c r="K30" s="406"/>
      <c r="L30" s="328">
        <f t="shared" ref="L30:L41" si="16">+J30/H30</f>
        <v>0</v>
      </c>
      <c r="M30" s="323">
        <v>63</v>
      </c>
      <c r="N30" s="406"/>
      <c r="O30" s="406"/>
      <c r="P30" s="406"/>
      <c r="Q30" s="326">
        <f t="shared" ref="Q30:Q41" si="17">+O30/M30</f>
        <v>0</v>
      </c>
      <c r="R30" s="432" t="e">
        <f t="shared" ref="R30:R42" si="18">P30/O30</f>
        <v>#DIV/0!</v>
      </c>
      <c r="S30" s="432"/>
      <c r="T30" s="432"/>
      <c r="U30" s="432"/>
      <c r="V30" s="432"/>
      <c r="W30" s="433"/>
      <c r="X30" s="377"/>
    </row>
    <row r="31" spans="1:24" ht="15.75" x14ac:dyDescent="0.25">
      <c r="A31" s="329">
        <v>2</v>
      </c>
      <c r="B31" s="303" t="s">
        <v>147</v>
      </c>
      <c r="C31" s="414">
        <f>+H31+M31</f>
        <v>31</v>
      </c>
      <c r="D31" s="367">
        <f t="shared" si="14"/>
        <v>0</v>
      </c>
      <c r="E31" s="367">
        <f t="shared" si="14"/>
        <v>0</v>
      </c>
      <c r="F31" s="367">
        <f t="shared" si="14"/>
        <v>0</v>
      </c>
      <c r="G31" s="331">
        <f t="shared" si="15"/>
        <v>0</v>
      </c>
      <c r="H31" s="332">
        <v>8</v>
      </c>
      <c r="I31" s="407"/>
      <c r="J31" s="407"/>
      <c r="K31" s="407"/>
      <c r="L31" s="333">
        <f t="shared" si="16"/>
        <v>0</v>
      </c>
      <c r="M31" s="329">
        <v>23</v>
      </c>
      <c r="N31" s="409"/>
      <c r="O31" s="409"/>
      <c r="P31" s="409"/>
      <c r="Q31" s="334">
        <f t="shared" si="17"/>
        <v>0</v>
      </c>
      <c r="R31" s="430" t="e">
        <f t="shared" si="18"/>
        <v>#DIV/0!</v>
      </c>
      <c r="S31" s="430"/>
      <c r="T31" s="430"/>
      <c r="U31" s="430"/>
      <c r="V31" s="430"/>
      <c r="W31" s="430"/>
    </row>
    <row r="32" spans="1:24" ht="15.75" x14ac:dyDescent="0.25">
      <c r="A32" s="329">
        <v>3</v>
      </c>
      <c r="B32" s="303" t="s">
        <v>148</v>
      </c>
      <c r="C32" s="415">
        <f t="shared" si="14"/>
        <v>49</v>
      </c>
      <c r="D32" s="368">
        <f t="shared" si="14"/>
        <v>0</v>
      </c>
      <c r="E32" s="368">
        <f t="shared" si="14"/>
        <v>0</v>
      </c>
      <c r="F32" s="368">
        <f t="shared" si="14"/>
        <v>0</v>
      </c>
      <c r="G32" s="337">
        <f t="shared" si="15"/>
        <v>0</v>
      </c>
      <c r="H32" s="338">
        <v>4</v>
      </c>
      <c r="I32" s="407"/>
      <c r="J32" s="407"/>
      <c r="K32" s="407"/>
      <c r="L32" s="333">
        <f t="shared" si="16"/>
        <v>0</v>
      </c>
      <c r="M32" s="335">
        <v>45</v>
      </c>
      <c r="N32" s="410"/>
      <c r="O32" s="410">
        <v>0</v>
      </c>
      <c r="P32" s="410">
        <v>0</v>
      </c>
      <c r="Q32" s="334">
        <f t="shared" si="17"/>
        <v>0</v>
      </c>
      <c r="R32" s="430" t="e">
        <f t="shared" si="18"/>
        <v>#DIV/0!</v>
      </c>
      <c r="S32" s="430"/>
      <c r="T32" s="430"/>
      <c r="U32" s="430"/>
      <c r="V32" s="430"/>
      <c r="W32" s="430"/>
    </row>
    <row r="33" spans="1:24" ht="15.75" x14ac:dyDescent="0.25">
      <c r="A33" s="329">
        <v>4</v>
      </c>
      <c r="B33" s="303" t="s">
        <v>206</v>
      </c>
      <c r="C33" s="415">
        <f t="shared" si="14"/>
        <v>60</v>
      </c>
      <c r="D33" s="368">
        <f t="shared" si="14"/>
        <v>0</v>
      </c>
      <c r="E33" s="368">
        <f t="shared" si="14"/>
        <v>8</v>
      </c>
      <c r="F33" s="368">
        <f t="shared" si="14"/>
        <v>2761</v>
      </c>
      <c r="G33" s="337">
        <f t="shared" si="15"/>
        <v>0.13333333333333333</v>
      </c>
      <c r="H33" s="338">
        <v>12</v>
      </c>
      <c r="I33" s="407"/>
      <c r="J33" s="407"/>
      <c r="K33" s="407"/>
      <c r="L33" s="333">
        <f t="shared" si="16"/>
        <v>0</v>
      </c>
      <c r="M33" s="335">
        <v>48</v>
      </c>
      <c r="N33" s="410"/>
      <c r="O33" s="410">
        <v>8</v>
      </c>
      <c r="P33" s="410">
        <v>2761</v>
      </c>
      <c r="Q33" s="334">
        <f t="shared" si="17"/>
        <v>0.16666666666666666</v>
      </c>
      <c r="R33" s="430">
        <f t="shared" si="18"/>
        <v>345.125</v>
      </c>
      <c r="S33" s="430"/>
      <c r="T33" s="430"/>
      <c r="U33" s="430"/>
      <c r="V33" s="430"/>
      <c r="W33" s="430"/>
    </row>
    <row r="34" spans="1:24" ht="15.75" x14ac:dyDescent="0.25">
      <c r="A34" s="329">
        <v>5</v>
      </c>
      <c r="B34" s="303" t="s">
        <v>174</v>
      </c>
      <c r="C34" s="415">
        <f t="shared" si="14"/>
        <v>33</v>
      </c>
      <c r="D34" s="368">
        <f t="shared" si="14"/>
        <v>0</v>
      </c>
      <c r="E34" s="368">
        <f t="shared" si="14"/>
        <v>0</v>
      </c>
      <c r="F34" s="368">
        <f t="shared" si="14"/>
        <v>0</v>
      </c>
      <c r="G34" s="337">
        <f t="shared" si="15"/>
        <v>0</v>
      </c>
      <c r="H34" s="338">
        <v>8</v>
      </c>
      <c r="I34" s="407"/>
      <c r="J34" s="407"/>
      <c r="K34" s="407"/>
      <c r="L34" s="333">
        <f t="shared" si="16"/>
        <v>0</v>
      </c>
      <c r="M34" s="335">
        <v>25</v>
      </c>
      <c r="N34" s="410"/>
      <c r="O34" s="410">
        <v>0</v>
      </c>
      <c r="P34" s="373">
        <v>0</v>
      </c>
      <c r="Q34" s="334">
        <f t="shared" si="17"/>
        <v>0</v>
      </c>
      <c r="R34" s="430" t="e">
        <f t="shared" si="18"/>
        <v>#DIV/0!</v>
      </c>
      <c r="S34" s="430"/>
      <c r="T34" s="430"/>
      <c r="U34" s="430"/>
      <c r="V34" s="430"/>
      <c r="W34" s="430"/>
    </row>
    <row r="35" spans="1:24" ht="15.75" x14ac:dyDescent="0.25">
      <c r="A35" s="329">
        <v>6</v>
      </c>
      <c r="B35" s="303" t="s">
        <v>151</v>
      </c>
      <c r="C35" s="415">
        <f t="shared" si="14"/>
        <v>34</v>
      </c>
      <c r="D35" s="368">
        <f t="shared" si="14"/>
        <v>0</v>
      </c>
      <c r="E35" s="368">
        <f t="shared" si="14"/>
        <v>0</v>
      </c>
      <c r="F35" s="368">
        <f t="shared" si="14"/>
        <v>0</v>
      </c>
      <c r="G35" s="337">
        <f t="shared" si="15"/>
        <v>0</v>
      </c>
      <c r="H35" s="338">
        <v>6</v>
      </c>
      <c r="I35" s="407"/>
      <c r="J35" s="407"/>
      <c r="K35" s="407"/>
      <c r="L35" s="333">
        <f t="shared" si="16"/>
        <v>0</v>
      </c>
      <c r="M35" s="335">
        <v>28</v>
      </c>
      <c r="N35" s="410"/>
      <c r="O35" s="373">
        <v>0</v>
      </c>
      <c r="P35" s="373">
        <v>0</v>
      </c>
      <c r="Q35" s="334">
        <f t="shared" si="17"/>
        <v>0</v>
      </c>
      <c r="R35" s="430" t="e">
        <f t="shared" si="18"/>
        <v>#DIV/0!</v>
      </c>
      <c r="S35" s="430"/>
      <c r="T35" s="430"/>
      <c r="U35" s="430"/>
      <c r="V35" s="430"/>
      <c r="W35" s="430"/>
    </row>
    <row r="36" spans="1:24" ht="15.75" x14ac:dyDescent="0.25">
      <c r="A36" s="329">
        <v>7</v>
      </c>
      <c r="B36" s="303" t="s">
        <v>207</v>
      </c>
      <c r="C36" s="415">
        <f t="shared" si="14"/>
        <v>63</v>
      </c>
      <c r="D36" s="368">
        <f t="shared" si="14"/>
        <v>0</v>
      </c>
      <c r="E36" s="368">
        <f t="shared" si="14"/>
        <v>9</v>
      </c>
      <c r="F36" s="368">
        <f t="shared" si="14"/>
        <v>4500</v>
      </c>
      <c r="G36" s="337">
        <f t="shared" si="15"/>
        <v>0.14285714285714285</v>
      </c>
      <c r="H36" s="338">
        <v>22</v>
      </c>
      <c r="I36" s="407"/>
      <c r="J36" s="407"/>
      <c r="K36" s="407"/>
      <c r="L36" s="333">
        <f t="shared" si="16"/>
        <v>0</v>
      </c>
      <c r="M36" s="335">
        <v>41</v>
      </c>
      <c r="N36" s="410"/>
      <c r="O36" s="373">
        <v>9</v>
      </c>
      <c r="P36" s="373">
        <v>4500</v>
      </c>
      <c r="Q36" s="334">
        <f t="shared" si="17"/>
        <v>0.21951219512195122</v>
      </c>
      <c r="R36" s="430">
        <f t="shared" si="18"/>
        <v>500</v>
      </c>
      <c r="S36" s="430"/>
      <c r="T36" s="430"/>
      <c r="U36" s="430"/>
      <c r="V36" s="430"/>
      <c r="W36" s="430"/>
    </row>
    <row r="37" spans="1:24" ht="15.75" x14ac:dyDescent="0.25">
      <c r="A37" s="329">
        <v>8</v>
      </c>
      <c r="B37" s="303" t="s">
        <v>153</v>
      </c>
      <c r="C37" s="415">
        <f t="shared" si="14"/>
        <v>64</v>
      </c>
      <c r="D37" s="368">
        <f t="shared" si="14"/>
        <v>0</v>
      </c>
      <c r="E37" s="368">
        <f t="shared" si="14"/>
        <v>47</v>
      </c>
      <c r="F37" s="368">
        <f t="shared" si="14"/>
        <v>61400</v>
      </c>
      <c r="G37" s="337">
        <f t="shared" si="15"/>
        <v>0.734375</v>
      </c>
      <c r="H37" s="338">
        <v>13</v>
      </c>
      <c r="I37" s="407"/>
      <c r="J37" s="407"/>
      <c r="K37" s="407"/>
      <c r="L37" s="333">
        <f t="shared" si="16"/>
        <v>0</v>
      </c>
      <c r="M37" s="335">
        <v>51</v>
      </c>
      <c r="N37" s="407"/>
      <c r="O37" s="373">
        <v>47</v>
      </c>
      <c r="P37" s="373">
        <v>61400</v>
      </c>
      <c r="Q37" s="334">
        <f t="shared" si="17"/>
        <v>0.92156862745098034</v>
      </c>
      <c r="R37" s="430">
        <f t="shared" si="18"/>
        <v>1306.3829787234042</v>
      </c>
      <c r="S37" s="430"/>
      <c r="T37" s="430"/>
      <c r="U37" s="732" t="s">
        <v>562</v>
      </c>
      <c r="V37" s="732"/>
      <c r="W37" s="732"/>
    </row>
    <row r="38" spans="1:24" ht="15.75" x14ac:dyDescent="0.25">
      <c r="A38" s="329">
        <v>9</v>
      </c>
      <c r="B38" s="303" t="s">
        <v>154</v>
      </c>
      <c r="C38" s="415">
        <f t="shared" si="14"/>
        <v>30</v>
      </c>
      <c r="D38" s="368">
        <f t="shared" si="14"/>
        <v>0</v>
      </c>
      <c r="E38" s="368">
        <f t="shared" si="14"/>
        <v>7</v>
      </c>
      <c r="F38" s="368">
        <f t="shared" si="14"/>
        <v>7950</v>
      </c>
      <c r="G38" s="337">
        <f t="shared" si="15"/>
        <v>0.23333333333333334</v>
      </c>
      <c r="H38" s="338">
        <v>11</v>
      </c>
      <c r="I38" s="407"/>
      <c r="J38" s="407"/>
      <c r="K38" s="407"/>
      <c r="L38" s="333">
        <f t="shared" si="16"/>
        <v>0</v>
      </c>
      <c r="M38" s="335">
        <v>19</v>
      </c>
      <c r="N38" s="410"/>
      <c r="O38" s="373">
        <v>7</v>
      </c>
      <c r="P38" s="373">
        <v>7950</v>
      </c>
      <c r="Q38" s="334">
        <f t="shared" si="17"/>
        <v>0.36842105263157893</v>
      </c>
      <c r="R38" s="434">
        <f t="shared" si="18"/>
        <v>1135.7142857142858</v>
      </c>
      <c r="S38" s="430"/>
      <c r="T38" s="430"/>
      <c r="U38" s="426">
        <v>3600</v>
      </c>
      <c r="V38" s="426" t="s">
        <v>561</v>
      </c>
      <c r="W38" s="430"/>
    </row>
    <row r="39" spans="1:24" ht="15.75" x14ac:dyDescent="0.25">
      <c r="A39" s="329">
        <v>10</v>
      </c>
      <c r="B39" s="303" t="s">
        <v>15</v>
      </c>
      <c r="C39" s="415">
        <f t="shared" si="14"/>
        <v>34</v>
      </c>
      <c r="D39" s="368">
        <f t="shared" si="14"/>
        <v>0</v>
      </c>
      <c r="E39" s="368">
        <f t="shared" si="14"/>
        <v>0</v>
      </c>
      <c r="F39" s="368">
        <f t="shared" si="14"/>
        <v>0</v>
      </c>
      <c r="G39" s="337">
        <f t="shared" si="15"/>
        <v>0</v>
      </c>
      <c r="H39" s="338">
        <v>7</v>
      </c>
      <c r="I39" s="407"/>
      <c r="J39" s="407"/>
      <c r="K39" s="407"/>
      <c r="L39" s="333">
        <f t="shared" si="16"/>
        <v>0</v>
      </c>
      <c r="M39" s="335">
        <v>27</v>
      </c>
      <c r="N39" s="407"/>
      <c r="O39" s="410">
        <v>0</v>
      </c>
      <c r="P39" s="410">
        <v>0</v>
      </c>
      <c r="Q39" s="334">
        <f t="shared" si="17"/>
        <v>0</v>
      </c>
      <c r="R39" s="430" t="e">
        <f t="shared" si="18"/>
        <v>#DIV/0!</v>
      </c>
      <c r="S39" s="430"/>
      <c r="T39" s="430"/>
      <c r="U39" s="430"/>
      <c r="V39" s="430"/>
      <c r="W39" s="430"/>
    </row>
    <row r="40" spans="1:24" ht="15.75" x14ac:dyDescent="0.25">
      <c r="A40" s="329">
        <v>11</v>
      </c>
      <c r="B40" s="303" t="s">
        <v>155</v>
      </c>
      <c r="C40" s="415">
        <f t="shared" si="14"/>
        <v>27</v>
      </c>
      <c r="D40" s="368">
        <f t="shared" si="14"/>
        <v>0</v>
      </c>
      <c r="E40" s="368">
        <f t="shared" si="14"/>
        <v>0</v>
      </c>
      <c r="F40" s="368">
        <f t="shared" si="14"/>
        <v>0</v>
      </c>
      <c r="G40" s="337">
        <f t="shared" si="15"/>
        <v>0</v>
      </c>
      <c r="H40" s="338">
        <v>17</v>
      </c>
      <c r="I40" s="407"/>
      <c r="J40" s="407"/>
      <c r="K40" s="407"/>
      <c r="L40" s="333">
        <f t="shared" si="16"/>
        <v>0</v>
      </c>
      <c r="M40" s="335">
        <v>10</v>
      </c>
      <c r="N40" s="410"/>
      <c r="O40" s="410">
        <v>0</v>
      </c>
      <c r="P40" s="410">
        <v>0</v>
      </c>
      <c r="Q40" s="334">
        <f t="shared" si="17"/>
        <v>0</v>
      </c>
      <c r="R40" s="430" t="e">
        <f t="shared" si="18"/>
        <v>#DIV/0!</v>
      </c>
      <c r="S40" s="430"/>
      <c r="T40" s="430"/>
      <c r="U40" s="430"/>
      <c r="V40" s="430"/>
      <c r="W40" s="430"/>
    </row>
    <row r="41" spans="1:24" ht="15.75" x14ac:dyDescent="0.25">
      <c r="A41" s="329">
        <v>12</v>
      </c>
      <c r="B41" s="303" t="s">
        <v>17</v>
      </c>
      <c r="C41" s="414">
        <f t="shared" si="14"/>
        <v>39</v>
      </c>
      <c r="D41" s="367">
        <f t="shared" si="14"/>
        <v>0</v>
      </c>
      <c r="E41" s="367">
        <f t="shared" si="14"/>
        <v>0</v>
      </c>
      <c r="F41" s="367">
        <f t="shared" si="14"/>
        <v>0</v>
      </c>
      <c r="G41" s="331">
        <f t="shared" si="15"/>
        <v>0</v>
      </c>
      <c r="H41" s="332">
        <v>9</v>
      </c>
      <c r="I41" s="407"/>
      <c r="J41" s="407"/>
      <c r="K41" s="407"/>
      <c r="L41" s="333">
        <f t="shared" si="16"/>
        <v>0</v>
      </c>
      <c r="M41" s="329">
        <v>30</v>
      </c>
      <c r="N41" s="409"/>
      <c r="O41" s="409"/>
      <c r="P41" s="409"/>
      <c r="Q41" s="334">
        <f t="shared" si="17"/>
        <v>0</v>
      </c>
      <c r="R41" s="430" t="e">
        <f t="shared" si="18"/>
        <v>#DIV/0!</v>
      </c>
      <c r="S41" s="430"/>
      <c r="T41" s="430"/>
      <c r="U41" s="430"/>
      <c r="V41" s="430"/>
      <c r="W41" s="430"/>
    </row>
    <row r="42" spans="1:24" ht="16.5" thickBot="1" x14ac:dyDescent="0.3">
      <c r="A42" s="405">
        <v>13</v>
      </c>
      <c r="B42" s="404" t="s">
        <v>18</v>
      </c>
      <c r="C42" s="416">
        <f t="shared" si="14"/>
        <v>27</v>
      </c>
      <c r="D42" s="369">
        <f t="shared" si="14"/>
        <v>0</v>
      </c>
      <c r="E42" s="369">
        <f t="shared" si="14"/>
        <v>0</v>
      </c>
      <c r="F42" s="369">
        <f t="shared" si="14"/>
        <v>0</v>
      </c>
      <c r="G42" s="341">
        <f>+E42/C42</f>
        <v>0</v>
      </c>
      <c r="H42" s="342">
        <v>14</v>
      </c>
      <c r="I42" s="408"/>
      <c r="J42" s="408"/>
      <c r="K42" s="408"/>
      <c r="L42" s="343">
        <f>+J42/H42</f>
        <v>0</v>
      </c>
      <c r="M42" s="339">
        <v>13</v>
      </c>
      <c r="N42" s="411"/>
      <c r="O42" s="411">
        <v>0</v>
      </c>
      <c r="P42" s="411">
        <v>0</v>
      </c>
      <c r="Q42" s="344">
        <f>+O42/M42</f>
        <v>0</v>
      </c>
      <c r="R42" s="430" t="e">
        <f t="shared" si="18"/>
        <v>#DIV/0!</v>
      </c>
      <c r="S42" s="430"/>
      <c r="T42" s="430"/>
      <c r="U42" s="430"/>
      <c r="V42" s="430"/>
      <c r="W42" s="430"/>
    </row>
    <row r="43" spans="1:24" ht="28.5" customHeight="1" x14ac:dyDescent="0.25">
      <c r="R43" s="430"/>
      <c r="S43" s="430"/>
      <c r="T43" s="430"/>
      <c r="U43" s="430"/>
      <c r="V43" s="430"/>
      <c r="W43" s="430"/>
      <c r="X43" s="403"/>
    </row>
    <row r="44" spans="1:24" ht="15.75" thickBot="1" x14ac:dyDescent="0.3">
      <c r="B44" s="372">
        <v>45047</v>
      </c>
      <c r="R44" s="430"/>
      <c r="S44" s="430"/>
      <c r="T44" s="430"/>
      <c r="U44" s="430"/>
      <c r="V44" s="430"/>
      <c r="W44" s="430"/>
    </row>
    <row r="45" spans="1:24" ht="16.5" thickBot="1" x14ac:dyDescent="0.3">
      <c r="A45" s="701" t="s">
        <v>0</v>
      </c>
      <c r="B45" s="705" t="s">
        <v>211</v>
      </c>
      <c r="C45" s="673" t="s">
        <v>212</v>
      </c>
      <c r="D45" s="721"/>
      <c r="E45" s="721"/>
      <c r="F45" s="721"/>
      <c r="G45" s="674"/>
      <c r="H45" s="723" t="s">
        <v>128</v>
      </c>
      <c r="I45" s="724"/>
      <c r="J45" s="724"/>
      <c r="K45" s="724"/>
      <c r="L45" s="724"/>
      <c r="M45" s="724"/>
      <c r="N45" s="724"/>
      <c r="O45" s="724"/>
      <c r="P45" s="724"/>
      <c r="Q45" s="725"/>
      <c r="R45" s="430"/>
      <c r="S45" s="430"/>
      <c r="T45" s="430"/>
      <c r="U45" s="430"/>
      <c r="V45" s="430"/>
      <c r="W45" s="430"/>
    </row>
    <row r="46" spans="1:24" ht="15.75" x14ac:dyDescent="0.25">
      <c r="A46" s="702"/>
      <c r="B46" s="706"/>
      <c r="C46" s="677"/>
      <c r="D46" s="722"/>
      <c r="E46" s="722"/>
      <c r="F46" s="722"/>
      <c r="G46" s="678"/>
      <c r="H46" s="726" t="s">
        <v>213</v>
      </c>
      <c r="I46" s="726"/>
      <c r="J46" s="726"/>
      <c r="K46" s="726"/>
      <c r="L46" s="726"/>
      <c r="M46" s="727" t="s">
        <v>214</v>
      </c>
      <c r="N46" s="726"/>
      <c r="O46" s="726"/>
      <c r="P46" s="726"/>
      <c r="Q46" s="728"/>
      <c r="R46" s="430"/>
      <c r="S46" s="430"/>
      <c r="T46" s="430"/>
      <c r="U46" s="430"/>
      <c r="V46" s="430"/>
      <c r="W46" s="430"/>
    </row>
    <row r="47" spans="1:24" ht="15.75" x14ac:dyDescent="0.25">
      <c r="A47" s="703"/>
      <c r="B47" s="707"/>
      <c r="C47" s="682" t="s">
        <v>143</v>
      </c>
      <c r="D47" s="683"/>
      <c r="E47" s="686" t="s">
        <v>198</v>
      </c>
      <c r="F47" s="683"/>
      <c r="G47" s="729" t="s">
        <v>199</v>
      </c>
      <c r="H47" s="709" t="s">
        <v>143</v>
      </c>
      <c r="I47" s="683"/>
      <c r="J47" s="686" t="s">
        <v>198</v>
      </c>
      <c r="K47" s="683"/>
      <c r="L47" s="686" t="s">
        <v>199</v>
      </c>
      <c r="M47" s="682" t="s">
        <v>143</v>
      </c>
      <c r="N47" s="683"/>
      <c r="O47" s="686" t="s">
        <v>198</v>
      </c>
      <c r="P47" s="683"/>
      <c r="Q47" s="365" t="s">
        <v>199</v>
      </c>
      <c r="R47" s="430"/>
      <c r="S47" s="430"/>
      <c r="T47" s="430"/>
      <c r="U47" s="430"/>
      <c r="V47" s="430"/>
      <c r="W47" s="430"/>
    </row>
    <row r="48" spans="1:24" ht="16.5" thickBot="1" x14ac:dyDescent="0.3">
      <c r="A48" s="703"/>
      <c r="B48" s="707"/>
      <c r="C48" s="363" t="s">
        <v>203</v>
      </c>
      <c r="D48" s="319" t="s">
        <v>204</v>
      </c>
      <c r="E48" s="319" t="s">
        <v>203</v>
      </c>
      <c r="F48" s="319" t="s">
        <v>204</v>
      </c>
      <c r="G48" s="730"/>
      <c r="H48" s="320" t="s">
        <v>203</v>
      </c>
      <c r="I48" s="319" t="s">
        <v>204</v>
      </c>
      <c r="J48" s="319" t="s">
        <v>203</v>
      </c>
      <c r="K48" s="319" t="s">
        <v>204</v>
      </c>
      <c r="L48" s="731"/>
      <c r="M48" s="363" t="s">
        <v>203</v>
      </c>
      <c r="N48" s="319" t="s">
        <v>204</v>
      </c>
      <c r="O48" s="319" t="s">
        <v>203</v>
      </c>
      <c r="P48" s="319" t="s">
        <v>204</v>
      </c>
      <c r="Q48" s="364" t="s">
        <v>203</v>
      </c>
      <c r="R48" s="430"/>
      <c r="S48" s="430"/>
      <c r="T48" s="430"/>
      <c r="U48" s="430"/>
      <c r="V48" s="430"/>
      <c r="W48" s="430"/>
    </row>
    <row r="49" spans="1:24" ht="16.5" thickBot="1" x14ac:dyDescent="0.3">
      <c r="A49" s="719" t="s">
        <v>163</v>
      </c>
      <c r="B49" s="720"/>
      <c r="C49" s="412">
        <f>SUM(C50:C62)</f>
        <v>497</v>
      </c>
      <c r="D49" s="370">
        <f>SUM(D50:D62)</f>
        <v>0</v>
      </c>
      <c r="E49" s="370">
        <f>SUM(E50:E62)</f>
        <v>115</v>
      </c>
      <c r="F49" s="370">
        <f>SUM(F50:F62)</f>
        <v>182155</v>
      </c>
      <c r="G49" s="322">
        <f>+E49/C49</f>
        <v>0.23138832997987926</v>
      </c>
      <c r="H49" s="413">
        <f>SUM(H50:H62)</f>
        <v>145</v>
      </c>
      <c r="I49" s="370">
        <f>SUM(I50:I62)</f>
        <v>0</v>
      </c>
      <c r="J49" s="370">
        <f>SUM(J50:J62)</f>
        <v>0</v>
      </c>
      <c r="K49" s="370">
        <f>SUM(K50:K62)</f>
        <v>0</v>
      </c>
      <c r="L49" s="322">
        <f>+J49/H49</f>
        <v>0</v>
      </c>
      <c r="M49" s="412">
        <f>SUM(M50:M62)</f>
        <v>352</v>
      </c>
      <c r="N49" s="370">
        <f>SUM(N50:N62)</f>
        <v>0</v>
      </c>
      <c r="O49" s="370">
        <f>SUM(O50:O62)</f>
        <v>115</v>
      </c>
      <c r="P49" s="370">
        <f>SUM(P50:P62)</f>
        <v>182155</v>
      </c>
      <c r="Q49" s="322">
        <f>+O49/M49</f>
        <v>0.32670454545454547</v>
      </c>
      <c r="R49" s="430"/>
      <c r="S49" s="430"/>
      <c r="T49" s="430"/>
      <c r="U49" s="430"/>
      <c r="V49" s="430"/>
      <c r="W49" s="430"/>
    </row>
    <row r="50" spans="1:24" ht="15.75" x14ac:dyDescent="0.25">
      <c r="A50" s="323">
        <v>1</v>
      </c>
      <c r="B50" s="324" t="s">
        <v>205</v>
      </c>
      <c r="C50" s="371">
        <f>+H50+M50</f>
        <v>77</v>
      </c>
      <c r="D50" s="366">
        <f t="shared" ref="D50:D62" si="19">+I50+N50</f>
        <v>0</v>
      </c>
      <c r="E50" s="366">
        <f t="shared" ref="E50:E62" si="20">+J50+O50</f>
        <v>0</v>
      </c>
      <c r="F50" s="366">
        <f t="shared" ref="F50:F62" si="21">+K50+P50</f>
        <v>0</v>
      </c>
      <c r="G50" s="326">
        <f t="shared" ref="G50:G61" si="22">+E50/C50</f>
        <v>0</v>
      </c>
      <c r="H50" s="417">
        <v>14</v>
      </c>
      <c r="I50" s="406"/>
      <c r="J50" s="406"/>
      <c r="K50" s="406"/>
      <c r="L50" s="328">
        <f t="shared" ref="L50:L61" si="23">+J50/H50</f>
        <v>0</v>
      </c>
      <c r="M50" s="371">
        <f t="shared" ref="M50:M62" si="24">M30-O30</f>
        <v>63</v>
      </c>
      <c r="N50" s="406"/>
      <c r="O50" s="406"/>
      <c r="P50" s="406"/>
      <c r="Q50" s="326">
        <f t="shared" ref="Q50:Q61" si="25">+O50/M50</f>
        <v>0</v>
      </c>
      <c r="R50" s="430" t="e">
        <f t="shared" ref="R50:R62" si="26">P50/O50</f>
        <v>#DIV/0!</v>
      </c>
      <c r="S50" s="430"/>
      <c r="T50" s="430"/>
      <c r="U50" s="430"/>
      <c r="V50" s="430"/>
      <c r="W50" s="430"/>
      <c r="X50" s="403"/>
    </row>
    <row r="51" spans="1:24" ht="15.75" x14ac:dyDescent="0.25">
      <c r="A51" s="329">
        <v>2</v>
      </c>
      <c r="B51" s="303" t="s">
        <v>147</v>
      </c>
      <c r="C51" s="414">
        <f t="shared" ref="C51:C61" si="27">+H51+M51</f>
        <v>31</v>
      </c>
      <c r="D51" s="367">
        <f t="shared" si="19"/>
        <v>0</v>
      </c>
      <c r="E51" s="367">
        <f t="shared" si="20"/>
        <v>0</v>
      </c>
      <c r="F51" s="367">
        <f t="shared" si="21"/>
        <v>0</v>
      </c>
      <c r="G51" s="331">
        <f t="shared" si="22"/>
        <v>0</v>
      </c>
      <c r="H51" s="418">
        <v>8</v>
      </c>
      <c r="I51" s="409"/>
      <c r="J51" s="409"/>
      <c r="K51" s="409"/>
      <c r="L51" s="333">
        <f t="shared" si="23"/>
        <v>0</v>
      </c>
      <c r="M51" s="414">
        <f t="shared" si="24"/>
        <v>23</v>
      </c>
      <c r="N51" s="409"/>
      <c r="O51" s="409"/>
      <c r="P51" s="409"/>
      <c r="Q51" s="334">
        <f t="shared" si="25"/>
        <v>0</v>
      </c>
      <c r="R51" s="430" t="e">
        <f t="shared" si="26"/>
        <v>#DIV/0!</v>
      </c>
      <c r="S51" s="430"/>
      <c r="T51" s="430"/>
      <c r="U51" s="430"/>
      <c r="V51" s="430"/>
      <c r="W51" s="430"/>
    </row>
    <row r="52" spans="1:24" ht="15.75" x14ac:dyDescent="0.25">
      <c r="A52" s="329">
        <v>3</v>
      </c>
      <c r="B52" s="303" t="s">
        <v>148</v>
      </c>
      <c r="C52" s="415">
        <f t="shared" si="27"/>
        <v>49</v>
      </c>
      <c r="D52" s="368">
        <f t="shared" si="19"/>
        <v>0</v>
      </c>
      <c r="E52" s="368">
        <f t="shared" si="20"/>
        <v>37</v>
      </c>
      <c r="F52" s="368">
        <f t="shared" si="21"/>
        <v>93150</v>
      </c>
      <c r="G52" s="337">
        <f t="shared" si="22"/>
        <v>0.75510204081632648</v>
      </c>
      <c r="H52" s="419">
        <v>4</v>
      </c>
      <c r="I52" s="410"/>
      <c r="J52" s="410"/>
      <c r="K52" s="410"/>
      <c r="L52" s="333">
        <f t="shared" si="23"/>
        <v>0</v>
      </c>
      <c r="M52" s="415">
        <f t="shared" si="24"/>
        <v>45</v>
      </c>
      <c r="N52" s="410"/>
      <c r="O52" s="410">
        <v>37</v>
      </c>
      <c r="P52" s="410">
        <v>93150</v>
      </c>
      <c r="Q52" s="334">
        <f t="shared" si="25"/>
        <v>0.82222222222222219</v>
      </c>
      <c r="R52" s="430">
        <f t="shared" si="26"/>
        <v>2517.5675675675675</v>
      </c>
      <c r="S52" s="430"/>
      <c r="T52" s="430"/>
      <c r="U52" s="430"/>
      <c r="V52" s="430"/>
      <c r="W52" s="430"/>
      <c r="X52" s="403"/>
    </row>
    <row r="53" spans="1:24" ht="15.75" x14ac:dyDescent="0.25">
      <c r="A53" s="329">
        <v>4</v>
      </c>
      <c r="B53" s="303" t="s">
        <v>206</v>
      </c>
      <c r="C53" s="415">
        <f t="shared" si="27"/>
        <v>52</v>
      </c>
      <c r="D53" s="368">
        <f t="shared" si="19"/>
        <v>0</v>
      </c>
      <c r="E53" s="368">
        <f t="shared" si="20"/>
        <v>36</v>
      </c>
      <c r="F53" s="368">
        <f t="shared" si="21"/>
        <v>17104</v>
      </c>
      <c r="G53" s="337">
        <f t="shared" si="22"/>
        <v>0.69230769230769229</v>
      </c>
      <c r="H53" s="419">
        <v>12</v>
      </c>
      <c r="I53" s="410"/>
      <c r="J53" s="410"/>
      <c r="K53" s="410"/>
      <c r="L53" s="333">
        <f t="shared" si="23"/>
        <v>0</v>
      </c>
      <c r="M53" s="415">
        <f t="shared" si="24"/>
        <v>40</v>
      </c>
      <c r="N53" s="410"/>
      <c r="O53" s="410">
        <v>36</v>
      </c>
      <c r="P53" s="410">
        <v>17104</v>
      </c>
      <c r="Q53" s="334">
        <f t="shared" si="25"/>
        <v>0.9</v>
      </c>
      <c r="R53" s="430">
        <f t="shared" si="26"/>
        <v>475.11111111111109</v>
      </c>
      <c r="S53" s="430"/>
      <c r="T53" s="430"/>
      <c r="U53" s="430"/>
      <c r="V53" s="430"/>
      <c r="W53" s="430"/>
      <c r="X53" s="403"/>
    </row>
    <row r="54" spans="1:24" ht="15.75" x14ac:dyDescent="0.25">
      <c r="A54" s="329">
        <v>5</v>
      </c>
      <c r="B54" s="303" t="s">
        <v>174</v>
      </c>
      <c r="C54" s="415">
        <f t="shared" si="27"/>
        <v>33</v>
      </c>
      <c r="D54" s="368">
        <f t="shared" si="19"/>
        <v>0</v>
      </c>
      <c r="E54" s="368">
        <f t="shared" si="20"/>
        <v>9</v>
      </c>
      <c r="F54" s="368">
        <f t="shared" si="21"/>
        <v>32801</v>
      </c>
      <c r="G54" s="337">
        <f t="shared" si="22"/>
        <v>0.27272727272727271</v>
      </c>
      <c r="H54" s="419">
        <v>8</v>
      </c>
      <c r="I54" s="410"/>
      <c r="J54" s="410"/>
      <c r="K54" s="410"/>
      <c r="L54" s="333">
        <f t="shared" si="23"/>
        <v>0</v>
      </c>
      <c r="M54" s="415">
        <f t="shared" si="24"/>
        <v>25</v>
      </c>
      <c r="N54" s="410"/>
      <c r="O54" s="410">
        <v>9</v>
      </c>
      <c r="P54" s="373">
        <v>32801</v>
      </c>
      <c r="Q54" s="334">
        <f t="shared" si="25"/>
        <v>0.36</v>
      </c>
      <c r="R54" s="430">
        <f t="shared" si="26"/>
        <v>3644.5555555555557</v>
      </c>
      <c r="S54" s="430"/>
      <c r="T54" s="430"/>
      <c r="U54" s="430">
        <v>4500</v>
      </c>
      <c r="V54" s="430" t="s">
        <v>561</v>
      </c>
      <c r="W54" s="430"/>
      <c r="X54" s="403"/>
    </row>
    <row r="55" spans="1:24" ht="15.75" x14ac:dyDescent="0.25">
      <c r="A55" s="329">
        <v>6</v>
      </c>
      <c r="B55" s="303" t="s">
        <v>151</v>
      </c>
      <c r="C55" s="415">
        <f t="shared" si="27"/>
        <v>34</v>
      </c>
      <c r="D55" s="368">
        <f t="shared" si="19"/>
        <v>0</v>
      </c>
      <c r="E55" s="368">
        <f t="shared" si="20"/>
        <v>7</v>
      </c>
      <c r="F55" s="368">
        <f t="shared" si="21"/>
        <v>13000</v>
      </c>
      <c r="G55" s="337">
        <f t="shared" si="22"/>
        <v>0.20588235294117646</v>
      </c>
      <c r="H55" s="419">
        <v>6</v>
      </c>
      <c r="I55" s="410"/>
      <c r="J55" s="410"/>
      <c r="K55" s="410"/>
      <c r="L55" s="333">
        <f t="shared" si="23"/>
        <v>0</v>
      </c>
      <c r="M55" s="415">
        <f t="shared" si="24"/>
        <v>28</v>
      </c>
      <c r="N55" s="410"/>
      <c r="O55" s="373">
        <v>7</v>
      </c>
      <c r="P55" s="373">
        <v>13000</v>
      </c>
      <c r="Q55" s="334">
        <f t="shared" si="25"/>
        <v>0.25</v>
      </c>
      <c r="R55" s="430">
        <f t="shared" si="26"/>
        <v>1857.1428571428571</v>
      </c>
      <c r="S55" s="430"/>
      <c r="T55" s="430"/>
      <c r="U55" s="430">
        <v>1500</v>
      </c>
      <c r="V55" s="430" t="s">
        <v>561</v>
      </c>
      <c r="W55" s="430"/>
      <c r="X55" s="403"/>
    </row>
    <row r="56" spans="1:24" ht="15.75" x14ac:dyDescent="0.25">
      <c r="A56" s="329">
        <v>7</v>
      </c>
      <c r="B56" s="303" t="s">
        <v>207</v>
      </c>
      <c r="C56" s="415">
        <f t="shared" si="27"/>
        <v>54</v>
      </c>
      <c r="D56" s="368">
        <f t="shared" si="19"/>
        <v>0</v>
      </c>
      <c r="E56" s="368">
        <f t="shared" si="20"/>
        <v>0</v>
      </c>
      <c r="F56" s="368">
        <f t="shared" si="21"/>
        <v>4500</v>
      </c>
      <c r="G56" s="337">
        <f t="shared" si="22"/>
        <v>0</v>
      </c>
      <c r="H56" s="419">
        <v>22</v>
      </c>
      <c r="I56" s="410"/>
      <c r="J56" s="410"/>
      <c r="K56" s="410"/>
      <c r="L56" s="333">
        <f t="shared" si="23"/>
        <v>0</v>
      </c>
      <c r="M56" s="415">
        <f t="shared" si="24"/>
        <v>32</v>
      </c>
      <c r="N56" s="410"/>
      <c r="O56" s="373"/>
      <c r="P56" s="373">
        <v>4500</v>
      </c>
      <c r="Q56" s="334">
        <f t="shared" si="25"/>
        <v>0</v>
      </c>
      <c r="R56" s="430" t="e">
        <f t="shared" si="26"/>
        <v>#DIV/0!</v>
      </c>
      <c r="S56" s="430"/>
      <c r="T56" s="430"/>
      <c r="U56" s="430"/>
      <c r="V56" s="430"/>
      <c r="W56" s="430"/>
      <c r="X56" s="403"/>
    </row>
    <row r="57" spans="1:24" ht="15.75" x14ac:dyDescent="0.25">
      <c r="A57" s="329">
        <v>8</v>
      </c>
      <c r="B57" s="303" t="s">
        <v>153</v>
      </c>
      <c r="C57" s="415">
        <f t="shared" si="27"/>
        <v>17</v>
      </c>
      <c r="D57" s="368">
        <f t="shared" si="19"/>
        <v>0</v>
      </c>
      <c r="E57" s="368">
        <f t="shared" si="20"/>
        <v>0</v>
      </c>
      <c r="F57" s="368">
        <f t="shared" si="21"/>
        <v>0</v>
      </c>
      <c r="G57" s="337">
        <f t="shared" si="22"/>
        <v>0</v>
      </c>
      <c r="H57" s="419">
        <v>13</v>
      </c>
      <c r="I57" s="407"/>
      <c r="J57" s="407"/>
      <c r="K57" s="407"/>
      <c r="L57" s="333">
        <f t="shared" si="23"/>
        <v>0</v>
      </c>
      <c r="M57" s="415">
        <f t="shared" si="24"/>
        <v>4</v>
      </c>
      <c r="N57" s="407"/>
      <c r="O57" s="373"/>
      <c r="P57" s="373"/>
      <c r="Q57" s="334">
        <f t="shared" si="25"/>
        <v>0</v>
      </c>
      <c r="R57" s="430" t="e">
        <f t="shared" si="26"/>
        <v>#DIV/0!</v>
      </c>
      <c r="S57" s="430"/>
      <c r="T57" s="430"/>
      <c r="U57" s="430"/>
      <c r="V57" s="430"/>
      <c r="W57" s="430"/>
      <c r="X57" s="403"/>
    </row>
    <row r="58" spans="1:24" ht="15.75" x14ac:dyDescent="0.25">
      <c r="A58" s="329">
        <v>9</v>
      </c>
      <c r="B58" s="303" t="s">
        <v>154</v>
      </c>
      <c r="C58" s="415">
        <f t="shared" si="27"/>
        <v>23</v>
      </c>
      <c r="D58" s="368">
        <f t="shared" si="19"/>
        <v>0</v>
      </c>
      <c r="E58" s="368">
        <f t="shared" si="20"/>
        <v>9</v>
      </c>
      <c r="F58" s="368">
        <f t="shared" si="21"/>
        <v>9000</v>
      </c>
      <c r="G58" s="337">
        <f t="shared" si="22"/>
        <v>0.39130434782608697</v>
      </c>
      <c r="H58" s="419">
        <v>11</v>
      </c>
      <c r="I58" s="410"/>
      <c r="J58" s="410"/>
      <c r="K58" s="410"/>
      <c r="L58" s="333">
        <f t="shared" si="23"/>
        <v>0</v>
      </c>
      <c r="M58" s="415">
        <f t="shared" si="24"/>
        <v>12</v>
      </c>
      <c r="N58" s="410"/>
      <c r="O58" s="373">
        <v>9</v>
      </c>
      <c r="P58" s="373">
        <v>9000</v>
      </c>
      <c r="Q58" s="334">
        <f t="shared" si="25"/>
        <v>0.75</v>
      </c>
      <c r="R58" s="430">
        <f t="shared" si="26"/>
        <v>1000</v>
      </c>
      <c r="S58" s="430"/>
      <c r="T58" s="430"/>
      <c r="U58" s="430"/>
      <c r="V58" s="430"/>
      <c r="W58" s="430"/>
      <c r="X58" s="403"/>
    </row>
    <row r="59" spans="1:24" ht="15.75" x14ac:dyDescent="0.25">
      <c r="A59" s="329">
        <v>10</v>
      </c>
      <c r="B59" s="303" t="s">
        <v>15</v>
      </c>
      <c r="C59" s="415">
        <f t="shared" si="27"/>
        <v>34</v>
      </c>
      <c r="D59" s="368">
        <f t="shared" si="19"/>
        <v>0</v>
      </c>
      <c r="E59" s="368">
        <f t="shared" si="20"/>
        <v>6</v>
      </c>
      <c r="F59" s="368">
        <f t="shared" si="21"/>
        <v>4600</v>
      </c>
      <c r="G59" s="337">
        <f t="shared" si="22"/>
        <v>0.17647058823529413</v>
      </c>
      <c r="H59" s="419">
        <v>7</v>
      </c>
      <c r="I59" s="407"/>
      <c r="J59" s="407"/>
      <c r="K59" s="407"/>
      <c r="L59" s="333">
        <f t="shared" si="23"/>
        <v>0</v>
      </c>
      <c r="M59" s="415">
        <f t="shared" si="24"/>
        <v>27</v>
      </c>
      <c r="N59" s="407"/>
      <c r="O59" s="410">
        <v>6</v>
      </c>
      <c r="P59" s="410">
        <v>4600</v>
      </c>
      <c r="Q59" s="334">
        <f t="shared" si="25"/>
        <v>0.22222222222222221</v>
      </c>
      <c r="R59" s="430">
        <f t="shared" si="26"/>
        <v>766.66666666666663</v>
      </c>
      <c r="S59" s="430"/>
      <c r="T59" s="430"/>
      <c r="U59" s="430"/>
      <c r="V59" s="430"/>
      <c r="W59" s="430"/>
      <c r="X59" s="403"/>
    </row>
    <row r="60" spans="1:24" ht="15.75" x14ac:dyDescent="0.25">
      <c r="A60" s="329">
        <v>11</v>
      </c>
      <c r="B60" s="303" t="s">
        <v>155</v>
      </c>
      <c r="C60" s="415">
        <f t="shared" si="27"/>
        <v>27</v>
      </c>
      <c r="D60" s="368">
        <f t="shared" si="19"/>
        <v>0</v>
      </c>
      <c r="E60" s="368">
        <f t="shared" si="20"/>
        <v>3</v>
      </c>
      <c r="F60" s="368">
        <f t="shared" si="21"/>
        <v>3500</v>
      </c>
      <c r="G60" s="337">
        <f t="shared" si="22"/>
        <v>0.1111111111111111</v>
      </c>
      <c r="H60" s="419">
        <v>17</v>
      </c>
      <c r="I60" s="410"/>
      <c r="J60" s="410"/>
      <c r="K60" s="410"/>
      <c r="L60" s="333">
        <f t="shared" si="23"/>
        <v>0</v>
      </c>
      <c r="M60" s="415">
        <f t="shared" si="24"/>
        <v>10</v>
      </c>
      <c r="N60" s="410"/>
      <c r="O60" s="410">
        <v>3</v>
      </c>
      <c r="P60" s="410">
        <v>3500</v>
      </c>
      <c r="Q60" s="334">
        <f t="shared" si="25"/>
        <v>0.3</v>
      </c>
      <c r="R60" s="430">
        <f t="shared" si="26"/>
        <v>1166.6666666666667</v>
      </c>
      <c r="S60" s="430"/>
      <c r="T60" s="430"/>
      <c r="U60" s="430"/>
      <c r="V60" s="430"/>
      <c r="W60" s="430"/>
      <c r="X60" s="403"/>
    </row>
    <row r="61" spans="1:24" ht="15.75" x14ac:dyDescent="0.25">
      <c r="A61" s="329">
        <v>12</v>
      </c>
      <c r="B61" s="303" t="s">
        <v>17</v>
      </c>
      <c r="C61" s="414">
        <f t="shared" si="27"/>
        <v>39</v>
      </c>
      <c r="D61" s="367">
        <f t="shared" si="19"/>
        <v>0</v>
      </c>
      <c r="E61" s="367">
        <f t="shared" si="20"/>
        <v>0</v>
      </c>
      <c r="F61" s="367">
        <f t="shared" si="21"/>
        <v>0</v>
      </c>
      <c r="G61" s="331">
        <f t="shared" si="22"/>
        <v>0</v>
      </c>
      <c r="H61" s="418">
        <v>9</v>
      </c>
      <c r="I61" s="409"/>
      <c r="J61" s="409"/>
      <c r="K61" s="409"/>
      <c r="L61" s="333">
        <f t="shared" si="23"/>
        <v>0</v>
      </c>
      <c r="M61" s="414">
        <f t="shared" si="24"/>
        <v>30</v>
      </c>
      <c r="N61" s="409"/>
      <c r="O61" s="409"/>
      <c r="P61" s="409"/>
      <c r="Q61" s="334">
        <f t="shared" si="25"/>
        <v>0</v>
      </c>
      <c r="R61" s="430" t="e">
        <f t="shared" si="26"/>
        <v>#DIV/0!</v>
      </c>
      <c r="S61" s="430"/>
      <c r="T61" s="430"/>
      <c r="U61" s="430"/>
      <c r="V61" s="430"/>
      <c r="W61" s="430"/>
      <c r="X61" s="403"/>
    </row>
    <row r="62" spans="1:24" ht="16.5" thickBot="1" x14ac:dyDescent="0.3">
      <c r="A62" s="405">
        <v>13</v>
      </c>
      <c r="B62" s="404" t="s">
        <v>18</v>
      </c>
      <c r="C62" s="416">
        <f>+H62+M62</f>
        <v>27</v>
      </c>
      <c r="D62" s="369">
        <f t="shared" si="19"/>
        <v>0</v>
      </c>
      <c r="E62" s="369">
        <f t="shared" si="20"/>
        <v>8</v>
      </c>
      <c r="F62" s="369">
        <f t="shared" si="21"/>
        <v>4500</v>
      </c>
      <c r="G62" s="341">
        <f>+E62/C62</f>
        <v>0.29629629629629628</v>
      </c>
      <c r="H62" s="420">
        <v>14</v>
      </c>
      <c r="I62" s="411"/>
      <c r="J62" s="411"/>
      <c r="K62" s="411"/>
      <c r="L62" s="343">
        <f>+J62/H62</f>
        <v>0</v>
      </c>
      <c r="M62" s="416">
        <f t="shared" si="24"/>
        <v>13</v>
      </c>
      <c r="N62" s="411"/>
      <c r="O62" s="411">
        <v>8</v>
      </c>
      <c r="P62" s="411">
        <v>4500</v>
      </c>
      <c r="Q62" s="344">
        <f>+O62/M62</f>
        <v>0.61538461538461542</v>
      </c>
      <c r="R62" s="430">
        <f t="shared" si="26"/>
        <v>562.5</v>
      </c>
      <c r="S62" s="430"/>
      <c r="T62" s="430"/>
      <c r="U62" s="435">
        <v>1900</v>
      </c>
      <c r="V62" s="435" t="s">
        <v>561</v>
      </c>
      <c r="W62" s="430"/>
      <c r="X62" s="403"/>
    </row>
    <row r="63" spans="1:24" x14ac:dyDescent="0.25">
      <c r="R63" s="430"/>
      <c r="S63" s="430"/>
      <c r="T63" s="430"/>
      <c r="U63" s="430"/>
      <c r="V63" s="430"/>
      <c r="W63" s="430"/>
    </row>
    <row r="64" spans="1:24" ht="15.75" thickBot="1" x14ac:dyDescent="0.3">
      <c r="B64" s="484">
        <v>45078</v>
      </c>
      <c r="R64" s="430"/>
      <c r="S64" s="430"/>
      <c r="T64" s="430"/>
      <c r="U64" s="430"/>
      <c r="V64" s="430"/>
      <c r="W64" s="430"/>
    </row>
    <row r="65" spans="1:23" ht="16.5" thickBot="1" x14ac:dyDescent="0.3">
      <c r="A65" s="701" t="s">
        <v>0</v>
      </c>
      <c r="B65" s="705" t="s">
        <v>211</v>
      </c>
      <c r="C65" s="673" t="s">
        <v>212</v>
      </c>
      <c r="D65" s="721"/>
      <c r="E65" s="721"/>
      <c r="F65" s="721"/>
      <c r="G65" s="674"/>
      <c r="H65" s="723" t="s">
        <v>128</v>
      </c>
      <c r="I65" s="724"/>
      <c r="J65" s="724"/>
      <c r="K65" s="724"/>
      <c r="L65" s="724"/>
      <c r="M65" s="724"/>
      <c r="N65" s="724"/>
      <c r="O65" s="724"/>
      <c r="P65" s="724"/>
      <c r="Q65" s="725"/>
      <c r="R65" s="430"/>
      <c r="S65" s="430"/>
      <c r="T65" s="430"/>
      <c r="U65" s="430"/>
      <c r="V65" s="430"/>
      <c r="W65" s="430"/>
    </row>
    <row r="66" spans="1:23" ht="15.75" x14ac:dyDescent="0.25">
      <c r="A66" s="702"/>
      <c r="B66" s="706"/>
      <c r="C66" s="677"/>
      <c r="D66" s="722"/>
      <c r="E66" s="722"/>
      <c r="F66" s="722"/>
      <c r="G66" s="678"/>
      <c r="H66" s="726" t="s">
        <v>213</v>
      </c>
      <c r="I66" s="726"/>
      <c r="J66" s="726"/>
      <c r="K66" s="726"/>
      <c r="L66" s="726"/>
      <c r="M66" s="727" t="s">
        <v>214</v>
      </c>
      <c r="N66" s="726"/>
      <c r="O66" s="726"/>
      <c r="P66" s="726"/>
      <c r="Q66" s="728"/>
      <c r="R66" s="430"/>
      <c r="S66" s="430"/>
      <c r="T66" s="430"/>
      <c r="U66" s="430"/>
      <c r="V66" s="430"/>
      <c r="W66" s="430"/>
    </row>
    <row r="67" spans="1:23" ht="15.75" x14ac:dyDescent="0.25">
      <c r="A67" s="703"/>
      <c r="B67" s="707"/>
      <c r="C67" s="682" t="s">
        <v>143</v>
      </c>
      <c r="D67" s="683"/>
      <c r="E67" s="686" t="s">
        <v>198</v>
      </c>
      <c r="F67" s="683"/>
      <c r="G67" s="729" t="s">
        <v>199</v>
      </c>
      <c r="H67" s="709" t="s">
        <v>143</v>
      </c>
      <c r="I67" s="683"/>
      <c r="J67" s="686" t="s">
        <v>198</v>
      </c>
      <c r="K67" s="683"/>
      <c r="L67" s="686" t="s">
        <v>199</v>
      </c>
      <c r="M67" s="682" t="s">
        <v>143</v>
      </c>
      <c r="N67" s="683"/>
      <c r="O67" s="686" t="s">
        <v>198</v>
      </c>
      <c r="P67" s="683"/>
      <c r="Q67" s="458" t="s">
        <v>199</v>
      </c>
      <c r="R67" s="430"/>
      <c r="S67" s="430"/>
      <c r="T67" s="430"/>
      <c r="U67" s="430"/>
      <c r="V67" s="430"/>
      <c r="W67" s="430"/>
    </row>
    <row r="68" spans="1:23" ht="16.5" thickBot="1" x14ac:dyDescent="0.3">
      <c r="A68" s="703"/>
      <c r="B68" s="707"/>
      <c r="C68" s="456" t="s">
        <v>203</v>
      </c>
      <c r="D68" s="319" t="s">
        <v>204</v>
      </c>
      <c r="E68" s="319" t="s">
        <v>203</v>
      </c>
      <c r="F68" s="319" t="s">
        <v>204</v>
      </c>
      <c r="G68" s="730"/>
      <c r="H68" s="320" t="s">
        <v>203</v>
      </c>
      <c r="I68" s="319" t="s">
        <v>204</v>
      </c>
      <c r="J68" s="319" t="s">
        <v>203</v>
      </c>
      <c r="K68" s="319" t="s">
        <v>204</v>
      </c>
      <c r="L68" s="731"/>
      <c r="M68" s="456" t="s">
        <v>203</v>
      </c>
      <c r="N68" s="319" t="s">
        <v>204</v>
      </c>
      <c r="O68" s="319" t="s">
        <v>203</v>
      </c>
      <c r="P68" s="319" t="s">
        <v>204</v>
      </c>
      <c r="Q68" s="457" t="s">
        <v>203</v>
      </c>
      <c r="R68" s="430"/>
      <c r="S68" s="430"/>
      <c r="T68" s="430"/>
      <c r="U68" s="430"/>
      <c r="V68" s="430"/>
      <c r="W68" s="430"/>
    </row>
    <row r="69" spans="1:23" ht="16.5" thickBot="1" x14ac:dyDescent="0.3">
      <c r="A69" s="719" t="s">
        <v>163</v>
      </c>
      <c r="B69" s="720"/>
      <c r="C69" s="412">
        <f>SUM(C70:C82)</f>
        <v>382</v>
      </c>
      <c r="D69" s="370">
        <f>SUM(D70:D82)</f>
        <v>0</v>
      </c>
      <c r="E69" s="370">
        <f>SUM(E70:E82)</f>
        <v>96</v>
      </c>
      <c r="F69" s="370">
        <f>SUM(F70:F82)</f>
        <v>130313</v>
      </c>
      <c r="G69" s="322">
        <f t="shared" ref="G69:G82" si="28">+E69/C69</f>
        <v>0.2513089005235602</v>
      </c>
      <c r="H69" s="413">
        <f>SUM(H70:H82)</f>
        <v>145</v>
      </c>
      <c r="I69" s="370">
        <f>SUM(I70:I82)</f>
        <v>0</v>
      </c>
      <c r="J69" s="370">
        <f>SUM(J70:J82)</f>
        <v>0</v>
      </c>
      <c r="K69" s="370">
        <f>SUM(K70:K82)</f>
        <v>0</v>
      </c>
      <c r="L69" s="322">
        <f t="shared" ref="L69:L82" si="29">+J69/H69</f>
        <v>0</v>
      </c>
      <c r="M69" s="412">
        <f>SUM(M70:M82)</f>
        <v>237</v>
      </c>
      <c r="N69" s="370">
        <f>SUM(N70:N82)</f>
        <v>0</v>
      </c>
      <c r="O69" s="370">
        <f>SUM(O70:O82)</f>
        <v>96</v>
      </c>
      <c r="P69" s="370">
        <f>SUM(P70:P82)</f>
        <v>130313</v>
      </c>
      <c r="Q69" s="322">
        <f t="shared" ref="Q69:Q82" si="30">+O69/M69</f>
        <v>0.4050632911392405</v>
      </c>
      <c r="R69" s="430"/>
      <c r="S69" s="430"/>
      <c r="T69" s="430"/>
      <c r="U69" s="430"/>
      <c r="V69" s="430"/>
      <c r="W69" s="430"/>
    </row>
    <row r="70" spans="1:23" ht="15.75" x14ac:dyDescent="0.25">
      <c r="A70" s="323">
        <v>1</v>
      </c>
      <c r="B70" s="324" t="s">
        <v>205</v>
      </c>
      <c r="C70" s="371">
        <f t="shared" ref="C70:C82" si="31">+H70+M70</f>
        <v>77</v>
      </c>
      <c r="D70" s="366">
        <f t="shared" ref="D70:D82" si="32">+I70+N70</f>
        <v>0</v>
      </c>
      <c r="E70" s="366">
        <f t="shared" ref="E70:E82" si="33">+J70+O70</f>
        <v>15</v>
      </c>
      <c r="F70" s="366">
        <f t="shared" ref="F70:F82" si="34">+K70+P70</f>
        <v>15000</v>
      </c>
      <c r="G70" s="326">
        <f t="shared" si="28"/>
        <v>0.19480519480519481</v>
      </c>
      <c r="H70" s="417">
        <v>14</v>
      </c>
      <c r="I70" s="406"/>
      <c r="J70" s="406"/>
      <c r="K70" s="406"/>
      <c r="L70" s="328">
        <f t="shared" si="29"/>
        <v>0</v>
      </c>
      <c r="M70" s="371">
        <f t="shared" ref="M70:M82" si="35">M50-O50</f>
        <v>63</v>
      </c>
      <c r="N70" s="406"/>
      <c r="O70" s="406">
        <v>15</v>
      </c>
      <c r="P70" s="406">
        <v>15000</v>
      </c>
      <c r="Q70" s="326">
        <f t="shared" si="30"/>
        <v>0.23809523809523808</v>
      </c>
      <c r="R70" s="430"/>
      <c r="S70" s="430"/>
      <c r="T70" s="430"/>
      <c r="U70" s="430">
        <v>1000</v>
      </c>
      <c r="V70" s="430" t="s">
        <v>561</v>
      </c>
      <c r="W70" s="430"/>
    </row>
    <row r="71" spans="1:23" ht="15.75" x14ac:dyDescent="0.25">
      <c r="A71" s="329">
        <v>2</v>
      </c>
      <c r="B71" s="303" t="s">
        <v>147</v>
      </c>
      <c r="C71" s="414">
        <f t="shared" si="31"/>
        <v>31</v>
      </c>
      <c r="D71" s="367">
        <f t="shared" si="32"/>
        <v>0</v>
      </c>
      <c r="E71" s="367">
        <f t="shared" si="33"/>
        <v>18</v>
      </c>
      <c r="F71" s="367">
        <f t="shared" si="34"/>
        <v>12800</v>
      </c>
      <c r="G71" s="331">
        <f t="shared" si="28"/>
        <v>0.58064516129032262</v>
      </c>
      <c r="H71" s="418">
        <v>8</v>
      </c>
      <c r="I71" s="409"/>
      <c r="J71" s="409"/>
      <c r="K71" s="409"/>
      <c r="L71" s="333">
        <f t="shared" si="29"/>
        <v>0</v>
      </c>
      <c r="M71" s="414">
        <f t="shared" si="35"/>
        <v>23</v>
      </c>
      <c r="N71" s="409"/>
      <c r="O71" s="409">
        <v>18</v>
      </c>
      <c r="P71" s="409">
        <v>12800</v>
      </c>
      <c r="Q71" s="334">
        <f t="shared" si="30"/>
        <v>0.78260869565217395</v>
      </c>
      <c r="R71" s="430"/>
      <c r="S71" s="430"/>
      <c r="T71" s="430"/>
      <c r="U71" s="430"/>
      <c r="V71" s="430"/>
      <c r="W71" s="430"/>
    </row>
    <row r="72" spans="1:23" ht="15.75" x14ac:dyDescent="0.25">
      <c r="A72" s="329">
        <v>3</v>
      </c>
      <c r="B72" s="303" t="s">
        <v>148</v>
      </c>
      <c r="C72" s="415">
        <f t="shared" si="31"/>
        <v>12</v>
      </c>
      <c r="D72" s="368">
        <f t="shared" si="32"/>
        <v>0</v>
      </c>
      <c r="E72" s="368">
        <f t="shared" si="33"/>
        <v>0</v>
      </c>
      <c r="F72" s="368">
        <f t="shared" si="34"/>
        <v>0</v>
      </c>
      <c r="G72" s="337">
        <f t="shared" si="28"/>
        <v>0</v>
      </c>
      <c r="H72" s="419">
        <v>4</v>
      </c>
      <c r="I72" s="410"/>
      <c r="J72" s="410"/>
      <c r="K72" s="410"/>
      <c r="L72" s="333">
        <f t="shared" si="29"/>
        <v>0</v>
      </c>
      <c r="M72" s="415">
        <f t="shared" si="35"/>
        <v>8</v>
      </c>
      <c r="N72" s="410"/>
      <c r="O72" s="410"/>
      <c r="P72" s="410">
        <v>0</v>
      </c>
      <c r="Q72" s="334">
        <f t="shared" si="30"/>
        <v>0</v>
      </c>
      <c r="R72" s="430"/>
      <c r="S72" s="430"/>
      <c r="T72" s="430"/>
      <c r="U72" s="430"/>
      <c r="V72" s="430"/>
      <c r="W72" s="430"/>
    </row>
    <row r="73" spans="1:23" ht="15.75" x14ac:dyDescent="0.25">
      <c r="A73" s="329">
        <v>4</v>
      </c>
      <c r="B73" s="303" t="s">
        <v>206</v>
      </c>
      <c r="C73" s="415">
        <f t="shared" si="31"/>
        <v>16</v>
      </c>
      <c r="D73" s="368">
        <f t="shared" si="32"/>
        <v>0</v>
      </c>
      <c r="E73" s="368">
        <f t="shared" si="33"/>
        <v>1</v>
      </c>
      <c r="F73" s="368">
        <f t="shared" si="34"/>
        <v>3263</v>
      </c>
      <c r="G73" s="337">
        <f t="shared" si="28"/>
        <v>6.25E-2</v>
      </c>
      <c r="H73" s="419">
        <v>12</v>
      </c>
      <c r="I73" s="410"/>
      <c r="J73" s="410"/>
      <c r="K73" s="410"/>
      <c r="L73" s="333">
        <f t="shared" si="29"/>
        <v>0</v>
      </c>
      <c r="M73" s="415">
        <f t="shared" si="35"/>
        <v>4</v>
      </c>
      <c r="N73" s="410"/>
      <c r="O73" s="410">
        <v>1</v>
      </c>
      <c r="P73" s="410">
        <v>3263</v>
      </c>
      <c r="Q73" s="334">
        <f t="shared" si="30"/>
        <v>0.25</v>
      </c>
      <c r="R73" s="430"/>
      <c r="S73" s="430"/>
      <c r="T73" s="430"/>
      <c r="U73" s="430"/>
      <c r="V73" s="430"/>
      <c r="W73" s="430"/>
    </row>
    <row r="74" spans="1:23" ht="15.75" x14ac:dyDescent="0.25">
      <c r="A74" s="329">
        <v>5</v>
      </c>
      <c r="B74" s="303" t="s">
        <v>174</v>
      </c>
      <c r="C74" s="415">
        <f t="shared" si="31"/>
        <v>24</v>
      </c>
      <c r="D74" s="368">
        <f t="shared" si="32"/>
        <v>0</v>
      </c>
      <c r="E74" s="368">
        <f t="shared" si="33"/>
        <v>7</v>
      </c>
      <c r="F74" s="368">
        <f t="shared" si="34"/>
        <v>24500</v>
      </c>
      <c r="G74" s="337">
        <f t="shared" si="28"/>
        <v>0.29166666666666669</v>
      </c>
      <c r="H74" s="419">
        <v>8</v>
      </c>
      <c r="I74" s="410"/>
      <c r="J74" s="410"/>
      <c r="K74" s="410"/>
      <c r="L74" s="333">
        <f t="shared" si="29"/>
        <v>0</v>
      </c>
      <c r="M74" s="415">
        <f t="shared" si="35"/>
        <v>16</v>
      </c>
      <c r="N74" s="410"/>
      <c r="O74" s="410">
        <v>7</v>
      </c>
      <c r="P74" s="373">
        <v>24500</v>
      </c>
      <c r="Q74" s="334">
        <f t="shared" si="30"/>
        <v>0.4375</v>
      </c>
      <c r="R74" s="430"/>
      <c r="S74" s="430"/>
      <c r="T74" s="430"/>
      <c r="U74" s="430"/>
      <c r="V74" s="430"/>
      <c r="W74" s="430"/>
    </row>
    <row r="75" spans="1:23" ht="15.75" x14ac:dyDescent="0.25">
      <c r="A75" s="329">
        <v>6</v>
      </c>
      <c r="B75" s="303" t="s">
        <v>151</v>
      </c>
      <c r="C75" s="415">
        <f t="shared" si="31"/>
        <v>27</v>
      </c>
      <c r="D75" s="368">
        <f t="shared" si="32"/>
        <v>0</v>
      </c>
      <c r="E75" s="368">
        <f t="shared" si="33"/>
        <v>6</v>
      </c>
      <c r="F75" s="368">
        <f t="shared" si="34"/>
        <v>10800</v>
      </c>
      <c r="G75" s="337">
        <f t="shared" si="28"/>
        <v>0.22222222222222221</v>
      </c>
      <c r="H75" s="419">
        <v>6</v>
      </c>
      <c r="I75" s="410"/>
      <c r="J75" s="410"/>
      <c r="K75" s="410"/>
      <c r="L75" s="333">
        <f t="shared" si="29"/>
        <v>0</v>
      </c>
      <c r="M75" s="415">
        <f t="shared" si="35"/>
        <v>21</v>
      </c>
      <c r="N75" s="410"/>
      <c r="O75" s="373">
        <v>6</v>
      </c>
      <c r="P75" s="373">
        <v>10800</v>
      </c>
      <c r="Q75" s="334">
        <f t="shared" si="30"/>
        <v>0.2857142857142857</v>
      </c>
      <c r="R75" s="430"/>
      <c r="S75" s="430"/>
      <c r="T75" s="430"/>
      <c r="U75" s="430">
        <v>1500</v>
      </c>
      <c r="V75" s="430" t="s">
        <v>581</v>
      </c>
      <c r="W75" s="430"/>
    </row>
    <row r="76" spans="1:23" ht="15.75" x14ac:dyDescent="0.25">
      <c r="A76" s="329">
        <v>7</v>
      </c>
      <c r="B76" s="303" t="s">
        <v>207</v>
      </c>
      <c r="C76" s="415">
        <f t="shared" si="31"/>
        <v>54</v>
      </c>
      <c r="D76" s="368">
        <f t="shared" si="32"/>
        <v>0</v>
      </c>
      <c r="E76" s="368">
        <f t="shared" si="33"/>
        <v>18</v>
      </c>
      <c r="F76" s="368">
        <f t="shared" si="34"/>
        <v>9000</v>
      </c>
      <c r="G76" s="337">
        <f t="shared" si="28"/>
        <v>0.33333333333333331</v>
      </c>
      <c r="H76" s="419">
        <v>22</v>
      </c>
      <c r="I76" s="410"/>
      <c r="J76" s="410"/>
      <c r="K76" s="410"/>
      <c r="L76" s="333">
        <f t="shared" si="29"/>
        <v>0</v>
      </c>
      <c r="M76" s="415">
        <f t="shared" si="35"/>
        <v>32</v>
      </c>
      <c r="N76" s="410"/>
      <c r="O76" s="373">
        <v>18</v>
      </c>
      <c r="P76" s="373">
        <v>9000</v>
      </c>
      <c r="Q76" s="334">
        <f t="shared" si="30"/>
        <v>0.5625</v>
      </c>
      <c r="R76" s="430"/>
      <c r="S76" s="430"/>
      <c r="T76" s="430"/>
      <c r="U76" s="430">
        <v>500</v>
      </c>
      <c r="V76" s="430" t="s">
        <v>581</v>
      </c>
      <c r="W76" s="430"/>
    </row>
    <row r="77" spans="1:23" ht="15.75" x14ac:dyDescent="0.25">
      <c r="A77" s="329">
        <v>8</v>
      </c>
      <c r="B77" s="303" t="s">
        <v>153</v>
      </c>
      <c r="C77" s="415">
        <f t="shared" si="31"/>
        <v>17</v>
      </c>
      <c r="D77" s="368">
        <f t="shared" si="32"/>
        <v>0</v>
      </c>
      <c r="E77" s="368">
        <f t="shared" si="33"/>
        <v>0</v>
      </c>
      <c r="F77" s="368">
        <f t="shared" si="34"/>
        <v>0</v>
      </c>
      <c r="G77" s="337">
        <f t="shared" si="28"/>
        <v>0</v>
      </c>
      <c r="H77" s="419">
        <v>13</v>
      </c>
      <c r="I77" s="407"/>
      <c r="J77" s="407"/>
      <c r="K77" s="407"/>
      <c r="L77" s="333">
        <f t="shared" si="29"/>
        <v>0</v>
      </c>
      <c r="M77" s="415">
        <f t="shared" si="35"/>
        <v>4</v>
      </c>
      <c r="N77" s="407"/>
      <c r="O77" s="373"/>
      <c r="P77" s="373">
        <v>0</v>
      </c>
      <c r="Q77" s="334">
        <f t="shared" si="30"/>
        <v>0</v>
      </c>
      <c r="R77" s="430"/>
      <c r="S77" s="430"/>
      <c r="T77" s="430"/>
      <c r="U77" s="430"/>
      <c r="V77" s="430"/>
      <c r="W77" s="430"/>
    </row>
    <row r="78" spans="1:23" ht="15.75" x14ac:dyDescent="0.25">
      <c r="A78" s="329">
        <v>9</v>
      </c>
      <c r="B78" s="303" t="s">
        <v>154</v>
      </c>
      <c r="C78" s="415">
        <f t="shared" si="31"/>
        <v>14</v>
      </c>
      <c r="D78" s="368">
        <f t="shared" si="32"/>
        <v>0</v>
      </c>
      <c r="E78" s="368">
        <f t="shared" si="33"/>
        <v>3</v>
      </c>
      <c r="F78" s="368">
        <f t="shared" si="34"/>
        <v>1800</v>
      </c>
      <c r="G78" s="337">
        <f t="shared" si="28"/>
        <v>0.21428571428571427</v>
      </c>
      <c r="H78" s="419">
        <v>11</v>
      </c>
      <c r="I78" s="410"/>
      <c r="J78" s="410"/>
      <c r="K78" s="410"/>
      <c r="L78" s="333">
        <f t="shared" si="29"/>
        <v>0</v>
      </c>
      <c r="M78" s="415">
        <f t="shared" si="35"/>
        <v>3</v>
      </c>
      <c r="N78" s="410"/>
      <c r="O78" s="373">
        <v>3</v>
      </c>
      <c r="P78" s="373">
        <v>1800</v>
      </c>
      <c r="Q78" s="334">
        <f t="shared" si="30"/>
        <v>1</v>
      </c>
      <c r="R78" s="430"/>
      <c r="S78" s="430"/>
      <c r="T78" s="430"/>
      <c r="U78" s="430"/>
      <c r="V78" s="430"/>
      <c r="W78" s="430"/>
    </row>
    <row r="79" spans="1:23" ht="15.75" x14ac:dyDescent="0.25">
      <c r="A79" s="329">
        <v>10</v>
      </c>
      <c r="B79" s="303" t="s">
        <v>15</v>
      </c>
      <c r="C79" s="415">
        <f t="shared" si="31"/>
        <v>28</v>
      </c>
      <c r="D79" s="368">
        <f t="shared" si="32"/>
        <v>0</v>
      </c>
      <c r="E79" s="368">
        <f t="shared" si="33"/>
        <v>7</v>
      </c>
      <c r="F79" s="368">
        <f t="shared" si="34"/>
        <v>5950</v>
      </c>
      <c r="G79" s="337">
        <f t="shared" si="28"/>
        <v>0.25</v>
      </c>
      <c r="H79" s="419">
        <v>7</v>
      </c>
      <c r="I79" s="407"/>
      <c r="J79" s="407"/>
      <c r="K79" s="407"/>
      <c r="L79" s="333">
        <f t="shared" si="29"/>
        <v>0</v>
      </c>
      <c r="M79" s="415">
        <f t="shared" si="35"/>
        <v>21</v>
      </c>
      <c r="N79" s="407"/>
      <c r="O79" s="410">
        <v>7</v>
      </c>
      <c r="P79" s="410">
        <v>5950</v>
      </c>
      <c r="Q79" s="334">
        <f t="shared" si="30"/>
        <v>0.33333333333333331</v>
      </c>
      <c r="R79" s="430"/>
      <c r="S79" s="430"/>
      <c r="T79" s="430"/>
      <c r="U79" s="430"/>
      <c r="V79" s="430"/>
      <c r="W79" s="430"/>
    </row>
    <row r="80" spans="1:23" ht="15.75" x14ac:dyDescent="0.25">
      <c r="A80" s="329">
        <v>11</v>
      </c>
      <c r="B80" s="303" t="s">
        <v>155</v>
      </c>
      <c r="C80" s="415">
        <f t="shared" si="31"/>
        <v>24</v>
      </c>
      <c r="D80" s="368">
        <f t="shared" si="32"/>
        <v>0</v>
      </c>
      <c r="E80" s="368">
        <f t="shared" si="33"/>
        <v>1</v>
      </c>
      <c r="F80" s="368">
        <f t="shared" si="34"/>
        <v>1000</v>
      </c>
      <c r="G80" s="337">
        <f t="shared" si="28"/>
        <v>4.1666666666666664E-2</v>
      </c>
      <c r="H80" s="419">
        <v>17</v>
      </c>
      <c r="I80" s="410"/>
      <c r="J80" s="410"/>
      <c r="K80" s="410"/>
      <c r="L80" s="333">
        <f t="shared" si="29"/>
        <v>0</v>
      </c>
      <c r="M80" s="415">
        <f t="shared" si="35"/>
        <v>7</v>
      </c>
      <c r="N80" s="410"/>
      <c r="O80" s="410">
        <v>1</v>
      </c>
      <c r="P80" s="410">
        <v>1000</v>
      </c>
      <c r="Q80" s="334">
        <f t="shared" si="30"/>
        <v>0.14285714285714285</v>
      </c>
      <c r="R80" s="430"/>
      <c r="S80" s="430"/>
      <c r="T80" s="430"/>
      <c r="U80" s="430"/>
      <c r="V80" s="430"/>
      <c r="W80" s="430"/>
    </row>
    <row r="81" spans="1:23" ht="15.75" x14ac:dyDescent="0.25">
      <c r="A81" s="329">
        <v>12</v>
      </c>
      <c r="B81" s="303" t="s">
        <v>17</v>
      </c>
      <c r="C81" s="414">
        <f t="shared" si="31"/>
        <v>39</v>
      </c>
      <c r="D81" s="367">
        <f t="shared" si="32"/>
        <v>0</v>
      </c>
      <c r="E81" s="367">
        <f t="shared" si="33"/>
        <v>10</v>
      </c>
      <c r="F81" s="367">
        <f t="shared" si="34"/>
        <v>42000</v>
      </c>
      <c r="G81" s="331">
        <f t="shared" si="28"/>
        <v>0.25641025641025639</v>
      </c>
      <c r="H81" s="418">
        <v>9</v>
      </c>
      <c r="I81" s="409"/>
      <c r="J81" s="409"/>
      <c r="K81" s="409"/>
      <c r="L81" s="333">
        <f t="shared" si="29"/>
        <v>0</v>
      </c>
      <c r="M81" s="414">
        <f t="shared" si="35"/>
        <v>30</v>
      </c>
      <c r="N81" s="409"/>
      <c r="O81" s="409">
        <v>10</v>
      </c>
      <c r="P81" s="409">
        <v>42000</v>
      </c>
      <c r="Q81" s="334">
        <f t="shared" si="30"/>
        <v>0.33333333333333331</v>
      </c>
      <c r="R81" s="430"/>
      <c r="S81" s="430"/>
      <c r="T81" s="430"/>
      <c r="U81" s="430">
        <v>4500</v>
      </c>
      <c r="V81" s="430" t="s">
        <v>561</v>
      </c>
      <c r="W81" s="430"/>
    </row>
    <row r="82" spans="1:23" ht="16.5" thickBot="1" x14ac:dyDescent="0.3">
      <c r="A82" s="405">
        <v>13</v>
      </c>
      <c r="B82" s="404" t="s">
        <v>18</v>
      </c>
      <c r="C82" s="416">
        <f t="shared" si="31"/>
        <v>19</v>
      </c>
      <c r="D82" s="369">
        <f t="shared" si="32"/>
        <v>0</v>
      </c>
      <c r="E82" s="369">
        <f t="shared" si="33"/>
        <v>10</v>
      </c>
      <c r="F82" s="369">
        <f t="shared" si="34"/>
        <v>4200</v>
      </c>
      <c r="G82" s="341">
        <f t="shared" si="28"/>
        <v>0.52631578947368418</v>
      </c>
      <c r="H82" s="420">
        <v>14</v>
      </c>
      <c r="I82" s="411"/>
      <c r="J82" s="411"/>
      <c r="K82" s="411"/>
      <c r="L82" s="343">
        <f t="shared" si="29"/>
        <v>0</v>
      </c>
      <c r="M82" s="416">
        <f t="shared" si="35"/>
        <v>5</v>
      </c>
      <c r="N82" s="411"/>
      <c r="O82" s="411">
        <v>10</v>
      </c>
      <c r="P82" s="411">
        <v>4200</v>
      </c>
      <c r="Q82" s="344">
        <f t="shared" si="30"/>
        <v>2</v>
      </c>
      <c r="R82" s="430"/>
      <c r="S82" s="430"/>
      <c r="T82" s="430"/>
      <c r="U82" s="430"/>
      <c r="V82" s="430"/>
      <c r="W82" s="430"/>
    </row>
    <row r="83" spans="1:23" x14ac:dyDescent="0.25">
      <c r="R83" s="430"/>
      <c r="S83" s="430"/>
      <c r="T83" s="430"/>
      <c r="U83" s="430"/>
      <c r="V83" s="430"/>
      <c r="W83" s="430"/>
    </row>
    <row r="84" spans="1:23" ht="15.75" thickBot="1" x14ac:dyDescent="0.3">
      <c r="B84" s="484">
        <v>45108</v>
      </c>
      <c r="R84" s="430"/>
      <c r="S84" s="430"/>
      <c r="T84" s="430"/>
      <c r="U84" s="430"/>
      <c r="V84" s="430"/>
      <c r="W84" s="430"/>
    </row>
    <row r="85" spans="1:23" ht="16.5" thickBot="1" x14ac:dyDescent="0.3">
      <c r="A85" s="701" t="s">
        <v>0</v>
      </c>
      <c r="B85" s="705" t="s">
        <v>211</v>
      </c>
      <c r="C85" s="673" t="s">
        <v>212</v>
      </c>
      <c r="D85" s="721"/>
      <c r="E85" s="721"/>
      <c r="F85" s="721"/>
      <c r="G85" s="674"/>
      <c r="H85" s="723" t="s">
        <v>128</v>
      </c>
      <c r="I85" s="724"/>
      <c r="J85" s="724"/>
      <c r="K85" s="724"/>
      <c r="L85" s="724"/>
      <c r="M85" s="724"/>
      <c r="N85" s="724"/>
      <c r="O85" s="724"/>
      <c r="P85" s="724"/>
      <c r="Q85" s="725"/>
      <c r="R85" s="430"/>
      <c r="S85" s="430"/>
      <c r="T85" s="430"/>
      <c r="U85" s="430"/>
      <c r="V85" s="430"/>
      <c r="W85" s="430"/>
    </row>
    <row r="86" spans="1:23" ht="15.75" x14ac:dyDescent="0.25">
      <c r="A86" s="702"/>
      <c r="B86" s="706"/>
      <c r="C86" s="677"/>
      <c r="D86" s="722"/>
      <c r="E86" s="722"/>
      <c r="F86" s="722"/>
      <c r="G86" s="678"/>
      <c r="H86" s="726" t="s">
        <v>213</v>
      </c>
      <c r="I86" s="726"/>
      <c r="J86" s="726"/>
      <c r="K86" s="726"/>
      <c r="L86" s="726"/>
      <c r="M86" s="727" t="s">
        <v>214</v>
      </c>
      <c r="N86" s="726"/>
      <c r="O86" s="726"/>
      <c r="P86" s="726"/>
      <c r="Q86" s="728"/>
      <c r="R86" s="430"/>
      <c r="S86" s="430"/>
      <c r="T86" s="430"/>
      <c r="U86" s="430"/>
      <c r="V86" s="430"/>
      <c r="W86" s="430"/>
    </row>
    <row r="87" spans="1:23" ht="15.75" x14ac:dyDescent="0.25">
      <c r="A87" s="703"/>
      <c r="B87" s="707"/>
      <c r="C87" s="682" t="s">
        <v>143</v>
      </c>
      <c r="D87" s="683"/>
      <c r="E87" s="686" t="s">
        <v>198</v>
      </c>
      <c r="F87" s="683"/>
      <c r="G87" s="729" t="s">
        <v>199</v>
      </c>
      <c r="H87" s="709" t="s">
        <v>143</v>
      </c>
      <c r="I87" s="683"/>
      <c r="J87" s="686" t="s">
        <v>198</v>
      </c>
      <c r="K87" s="683"/>
      <c r="L87" s="686" t="s">
        <v>199</v>
      </c>
      <c r="M87" s="682" t="s">
        <v>143</v>
      </c>
      <c r="N87" s="683"/>
      <c r="O87" s="686" t="s">
        <v>198</v>
      </c>
      <c r="P87" s="683"/>
      <c r="Q87" s="493" t="s">
        <v>199</v>
      </c>
      <c r="R87" s="430"/>
      <c r="S87" s="430"/>
      <c r="T87" s="430"/>
      <c r="U87" s="430"/>
      <c r="V87" s="430"/>
      <c r="W87" s="430"/>
    </row>
    <row r="88" spans="1:23" ht="16.5" thickBot="1" x14ac:dyDescent="0.3">
      <c r="A88" s="703"/>
      <c r="B88" s="707"/>
      <c r="C88" s="488" t="s">
        <v>203</v>
      </c>
      <c r="D88" s="319" t="s">
        <v>204</v>
      </c>
      <c r="E88" s="319" t="s">
        <v>203</v>
      </c>
      <c r="F88" s="319" t="s">
        <v>204</v>
      </c>
      <c r="G88" s="730"/>
      <c r="H88" s="320" t="s">
        <v>203</v>
      </c>
      <c r="I88" s="319" t="s">
        <v>204</v>
      </c>
      <c r="J88" s="319" t="s">
        <v>203</v>
      </c>
      <c r="K88" s="319" t="s">
        <v>204</v>
      </c>
      <c r="L88" s="731"/>
      <c r="M88" s="488" t="s">
        <v>203</v>
      </c>
      <c r="N88" s="319" t="s">
        <v>204</v>
      </c>
      <c r="O88" s="319" t="s">
        <v>203</v>
      </c>
      <c r="P88" s="319" t="s">
        <v>204</v>
      </c>
      <c r="Q88" s="490" t="s">
        <v>203</v>
      </c>
      <c r="R88" s="430"/>
      <c r="S88" s="430"/>
      <c r="T88" s="430"/>
      <c r="U88" s="430"/>
      <c r="V88" s="430"/>
      <c r="W88" s="430"/>
    </row>
    <row r="89" spans="1:23" ht="16.5" thickBot="1" x14ac:dyDescent="0.3">
      <c r="A89" s="719" t="s">
        <v>163</v>
      </c>
      <c r="B89" s="720"/>
      <c r="C89" s="412">
        <f>SUM(C90:C102)</f>
        <v>296</v>
      </c>
      <c r="D89" s="370">
        <f>SUM(D90:D102)</f>
        <v>0</v>
      </c>
      <c r="E89" s="370">
        <f>SUM(E90:E102)</f>
        <v>61</v>
      </c>
      <c r="F89" s="370">
        <f>SUM(F90:F102)</f>
        <v>38600</v>
      </c>
      <c r="G89" s="322">
        <f t="shared" ref="G89:G102" si="36">+E89/C89</f>
        <v>0.20608108108108109</v>
      </c>
      <c r="H89" s="413">
        <f>SUM(H90:H102)</f>
        <v>145</v>
      </c>
      <c r="I89" s="370">
        <f>SUM(I90:I102)</f>
        <v>0</v>
      </c>
      <c r="J89" s="370">
        <f>SUM(J90:J102)</f>
        <v>0</v>
      </c>
      <c r="K89" s="370">
        <f>SUM(K90:K102)</f>
        <v>0</v>
      </c>
      <c r="L89" s="322">
        <f t="shared" ref="L89:L102" si="37">+J89/H89</f>
        <v>0</v>
      </c>
      <c r="M89" s="412">
        <f>SUM(M90:M102)</f>
        <v>151</v>
      </c>
      <c r="N89" s="370">
        <f>SUM(N90:N102)</f>
        <v>0</v>
      </c>
      <c r="O89" s="370">
        <f>SUM(O90:O102)</f>
        <v>61</v>
      </c>
      <c r="P89" s="370">
        <f>SUM(P90:P102)</f>
        <v>38600</v>
      </c>
      <c r="Q89" s="322">
        <f t="shared" ref="Q89:Q102" si="38">+O89/M89</f>
        <v>0.40397350993377484</v>
      </c>
      <c r="R89" s="430"/>
      <c r="S89" s="430"/>
      <c r="T89" s="430"/>
      <c r="U89" s="430"/>
      <c r="V89" s="430"/>
      <c r="W89" s="430"/>
    </row>
    <row r="90" spans="1:23" ht="15.75" x14ac:dyDescent="0.25">
      <c r="A90" s="323">
        <v>1</v>
      </c>
      <c r="B90" s="324" t="s">
        <v>205</v>
      </c>
      <c r="C90" s="371">
        <f t="shared" ref="C90:C102" si="39">+H90+M90</f>
        <v>62</v>
      </c>
      <c r="D90" s="366">
        <f t="shared" ref="D90:D102" si="40">+I90+N90</f>
        <v>0</v>
      </c>
      <c r="E90" s="366">
        <f t="shared" ref="E90:E102" si="41">+J90+O90</f>
        <v>11</v>
      </c>
      <c r="F90" s="366">
        <f t="shared" ref="F90:F102" si="42">+K90+P90</f>
        <v>11000</v>
      </c>
      <c r="G90" s="326">
        <f t="shared" si="36"/>
        <v>0.17741935483870969</v>
      </c>
      <c r="H90" s="417">
        <v>14</v>
      </c>
      <c r="I90" s="406"/>
      <c r="J90" s="406"/>
      <c r="K90" s="406"/>
      <c r="L90" s="328">
        <f t="shared" si="37"/>
        <v>0</v>
      </c>
      <c r="M90" s="371">
        <f t="shared" ref="M90:M101" si="43">M70-O70</f>
        <v>48</v>
      </c>
      <c r="N90" s="406"/>
      <c r="O90" s="406">
        <v>11</v>
      </c>
      <c r="P90" s="406">
        <v>11000</v>
      </c>
      <c r="Q90" s="326">
        <f t="shared" si="38"/>
        <v>0.22916666666666666</v>
      </c>
      <c r="R90" s="430"/>
      <c r="S90" s="430"/>
      <c r="T90" s="430"/>
      <c r="U90" s="430"/>
      <c r="V90" s="430" t="s">
        <v>589</v>
      </c>
      <c r="W90" s="430"/>
    </row>
    <row r="91" spans="1:23" ht="15.75" x14ac:dyDescent="0.25">
      <c r="A91" s="329">
        <v>2</v>
      </c>
      <c r="B91" s="303" t="s">
        <v>147</v>
      </c>
      <c r="C91" s="414">
        <f t="shared" si="39"/>
        <v>13</v>
      </c>
      <c r="D91" s="367">
        <f t="shared" si="40"/>
        <v>0</v>
      </c>
      <c r="E91" s="367">
        <f t="shared" si="41"/>
        <v>0</v>
      </c>
      <c r="F91" s="367">
        <f t="shared" si="42"/>
        <v>0</v>
      </c>
      <c r="G91" s="331">
        <f t="shared" si="36"/>
        <v>0</v>
      </c>
      <c r="H91" s="418">
        <v>8</v>
      </c>
      <c r="I91" s="409"/>
      <c r="J91" s="409"/>
      <c r="K91" s="409"/>
      <c r="L91" s="333">
        <f t="shared" si="37"/>
        <v>0</v>
      </c>
      <c r="M91" s="414">
        <f t="shared" si="43"/>
        <v>5</v>
      </c>
      <c r="N91" s="409"/>
      <c r="O91" s="409"/>
      <c r="P91" s="409"/>
      <c r="Q91" s="334">
        <f t="shared" si="38"/>
        <v>0</v>
      </c>
      <c r="R91" s="430"/>
      <c r="S91" s="430"/>
      <c r="T91" s="430"/>
      <c r="U91" s="430"/>
      <c r="V91" s="430"/>
      <c r="W91" s="430"/>
    </row>
    <row r="92" spans="1:23" ht="15.75" x14ac:dyDescent="0.25">
      <c r="A92" s="329">
        <v>3</v>
      </c>
      <c r="B92" s="303" t="s">
        <v>148</v>
      </c>
      <c r="C92" s="415">
        <f t="shared" si="39"/>
        <v>12</v>
      </c>
      <c r="D92" s="368">
        <f t="shared" si="40"/>
        <v>0</v>
      </c>
      <c r="E92" s="368">
        <f t="shared" si="41"/>
        <v>0</v>
      </c>
      <c r="F92" s="368">
        <f t="shared" si="42"/>
        <v>0</v>
      </c>
      <c r="G92" s="337">
        <f t="shared" si="36"/>
        <v>0</v>
      </c>
      <c r="H92" s="419">
        <v>4</v>
      </c>
      <c r="I92" s="410"/>
      <c r="J92" s="410"/>
      <c r="K92" s="410"/>
      <c r="L92" s="333">
        <f t="shared" si="37"/>
        <v>0</v>
      </c>
      <c r="M92" s="415">
        <f t="shared" si="43"/>
        <v>8</v>
      </c>
      <c r="N92" s="410"/>
      <c r="O92" s="410"/>
      <c r="P92" s="410"/>
      <c r="Q92" s="334">
        <f t="shared" si="38"/>
        <v>0</v>
      </c>
      <c r="R92" s="430"/>
      <c r="S92" s="430"/>
      <c r="T92" s="430"/>
      <c r="U92" s="430"/>
      <c r="V92" s="430"/>
      <c r="W92" s="430"/>
    </row>
    <row r="93" spans="1:23" ht="15.75" x14ac:dyDescent="0.25">
      <c r="A93" s="329">
        <v>4</v>
      </c>
      <c r="B93" s="303" t="s">
        <v>206</v>
      </c>
      <c r="C93" s="415">
        <f t="shared" si="39"/>
        <v>15</v>
      </c>
      <c r="D93" s="368">
        <f t="shared" si="40"/>
        <v>0</v>
      </c>
      <c r="E93" s="368">
        <f t="shared" si="41"/>
        <v>0</v>
      </c>
      <c r="F93" s="368">
        <f t="shared" si="42"/>
        <v>0</v>
      </c>
      <c r="G93" s="337">
        <f t="shared" si="36"/>
        <v>0</v>
      </c>
      <c r="H93" s="419">
        <v>12</v>
      </c>
      <c r="I93" s="410"/>
      <c r="J93" s="410"/>
      <c r="K93" s="410"/>
      <c r="L93" s="333">
        <f t="shared" si="37"/>
        <v>0</v>
      </c>
      <c r="M93" s="415">
        <f t="shared" si="43"/>
        <v>3</v>
      </c>
      <c r="N93" s="410"/>
      <c r="O93" s="410"/>
      <c r="P93" s="410"/>
      <c r="Q93" s="334">
        <f t="shared" si="38"/>
        <v>0</v>
      </c>
      <c r="R93" s="430"/>
      <c r="S93" s="430"/>
      <c r="T93" s="430"/>
      <c r="U93" s="430"/>
      <c r="V93" s="430"/>
      <c r="W93" s="430"/>
    </row>
    <row r="94" spans="1:23" ht="15.75" x14ac:dyDescent="0.25">
      <c r="A94" s="329">
        <v>5</v>
      </c>
      <c r="B94" s="303" t="s">
        <v>174</v>
      </c>
      <c r="C94" s="415">
        <f t="shared" si="39"/>
        <v>17</v>
      </c>
      <c r="D94" s="368">
        <f t="shared" si="40"/>
        <v>0</v>
      </c>
      <c r="E94" s="368">
        <f t="shared" si="41"/>
        <v>2</v>
      </c>
      <c r="F94" s="368">
        <f t="shared" si="42"/>
        <v>4500</v>
      </c>
      <c r="G94" s="337">
        <f t="shared" si="36"/>
        <v>0.11764705882352941</v>
      </c>
      <c r="H94" s="419">
        <v>8</v>
      </c>
      <c r="I94" s="410"/>
      <c r="J94" s="410"/>
      <c r="K94" s="410"/>
      <c r="L94" s="333">
        <f t="shared" si="37"/>
        <v>0</v>
      </c>
      <c r="M94" s="415">
        <f t="shared" si="43"/>
        <v>9</v>
      </c>
      <c r="N94" s="410"/>
      <c r="O94" s="410">
        <v>2</v>
      </c>
      <c r="P94" s="373">
        <v>4500</v>
      </c>
      <c r="Q94" s="334">
        <f t="shared" si="38"/>
        <v>0.22222222222222221</v>
      </c>
      <c r="R94" s="430"/>
      <c r="S94" s="430"/>
      <c r="T94" s="430"/>
      <c r="U94" s="430"/>
      <c r="V94" s="430"/>
      <c r="W94" s="430"/>
    </row>
    <row r="95" spans="1:23" ht="15.75" x14ac:dyDescent="0.25">
      <c r="A95" s="329">
        <v>6</v>
      </c>
      <c r="B95" s="303" t="s">
        <v>151</v>
      </c>
      <c r="C95" s="415">
        <f t="shared" si="39"/>
        <v>21</v>
      </c>
      <c r="D95" s="368">
        <f t="shared" si="40"/>
        <v>0</v>
      </c>
      <c r="E95" s="368">
        <f t="shared" si="41"/>
        <v>0</v>
      </c>
      <c r="F95" s="368">
        <f t="shared" si="42"/>
        <v>0</v>
      </c>
      <c r="G95" s="337">
        <f t="shared" si="36"/>
        <v>0</v>
      </c>
      <c r="H95" s="419">
        <v>6</v>
      </c>
      <c r="I95" s="410"/>
      <c r="J95" s="410"/>
      <c r="K95" s="410"/>
      <c r="L95" s="333">
        <f t="shared" si="37"/>
        <v>0</v>
      </c>
      <c r="M95" s="415">
        <f t="shared" si="43"/>
        <v>15</v>
      </c>
      <c r="N95" s="410"/>
      <c r="O95" s="373"/>
      <c r="P95" s="373"/>
      <c r="Q95" s="334">
        <f t="shared" si="38"/>
        <v>0</v>
      </c>
      <c r="R95" s="430"/>
      <c r="S95" s="430"/>
      <c r="T95" s="430"/>
      <c r="U95" s="430"/>
      <c r="V95" s="430"/>
      <c r="W95" s="430"/>
    </row>
    <row r="96" spans="1:23" ht="15.75" x14ac:dyDescent="0.25">
      <c r="A96" s="329">
        <v>7</v>
      </c>
      <c r="B96" s="303" t="s">
        <v>207</v>
      </c>
      <c r="C96" s="415">
        <f t="shared" si="39"/>
        <v>36</v>
      </c>
      <c r="D96" s="368">
        <f t="shared" si="40"/>
        <v>0</v>
      </c>
      <c r="E96" s="368">
        <f t="shared" si="41"/>
        <v>14</v>
      </c>
      <c r="F96" s="368">
        <f t="shared" si="42"/>
        <v>7000</v>
      </c>
      <c r="G96" s="337">
        <f t="shared" si="36"/>
        <v>0.3888888888888889</v>
      </c>
      <c r="H96" s="419">
        <v>22</v>
      </c>
      <c r="I96" s="410"/>
      <c r="J96" s="410"/>
      <c r="K96" s="410"/>
      <c r="L96" s="333">
        <f t="shared" si="37"/>
        <v>0</v>
      </c>
      <c r="M96" s="415">
        <f t="shared" si="43"/>
        <v>14</v>
      </c>
      <c r="N96" s="410"/>
      <c r="O96" s="373">
        <v>14</v>
      </c>
      <c r="P96" s="373">
        <v>7000</v>
      </c>
      <c r="Q96" s="334">
        <f t="shared" si="38"/>
        <v>1</v>
      </c>
      <c r="R96" s="430"/>
      <c r="S96" s="430"/>
      <c r="T96" s="430"/>
      <c r="U96" s="430"/>
      <c r="V96" s="430"/>
      <c r="W96" s="430"/>
    </row>
    <row r="97" spans="1:23" ht="15.75" x14ac:dyDescent="0.25">
      <c r="A97" s="329">
        <v>8</v>
      </c>
      <c r="B97" s="303" t="s">
        <v>153</v>
      </c>
      <c r="C97" s="415">
        <f t="shared" si="39"/>
        <v>17</v>
      </c>
      <c r="D97" s="368">
        <f t="shared" si="40"/>
        <v>0</v>
      </c>
      <c r="E97" s="368">
        <f t="shared" si="41"/>
        <v>0</v>
      </c>
      <c r="F97" s="368">
        <f t="shared" si="42"/>
        <v>0</v>
      </c>
      <c r="G97" s="337">
        <f t="shared" si="36"/>
        <v>0</v>
      </c>
      <c r="H97" s="419">
        <v>13</v>
      </c>
      <c r="I97" s="407"/>
      <c r="J97" s="407"/>
      <c r="K97" s="407"/>
      <c r="L97" s="333">
        <f t="shared" si="37"/>
        <v>0</v>
      </c>
      <c r="M97" s="415">
        <f t="shared" si="43"/>
        <v>4</v>
      </c>
      <c r="N97" s="407"/>
      <c r="O97" s="373"/>
      <c r="P97" s="373"/>
      <c r="Q97" s="334">
        <f t="shared" si="38"/>
        <v>0</v>
      </c>
      <c r="R97" s="430"/>
      <c r="S97" s="430"/>
      <c r="T97" s="430"/>
      <c r="U97" s="430"/>
      <c r="V97" s="430"/>
      <c r="W97" s="430"/>
    </row>
    <row r="98" spans="1:23" ht="15.75" x14ac:dyDescent="0.25">
      <c r="A98" s="329">
        <v>9</v>
      </c>
      <c r="B98" s="303" t="s">
        <v>154</v>
      </c>
      <c r="C98" s="415">
        <f t="shared" si="39"/>
        <v>11</v>
      </c>
      <c r="D98" s="368">
        <f t="shared" si="40"/>
        <v>0</v>
      </c>
      <c r="E98" s="368">
        <f t="shared" si="41"/>
        <v>17</v>
      </c>
      <c r="F98" s="368">
        <f t="shared" si="42"/>
        <v>6150</v>
      </c>
      <c r="G98" s="337">
        <f t="shared" si="36"/>
        <v>1.5454545454545454</v>
      </c>
      <c r="H98" s="419">
        <v>11</v>
      </c>
      <c r="I98" s="410"/>
      <c r="J98" s="410"/>
      <c r="K98" s="410"/>
      <c r="L98" s="333">
        <f t="shared" si="37"/>
        <v>0</v>
      </c>
      <c r="M98" s="415">
        <f t="shared" si="43"/>
        <v>0</v>
      </c>
      <c r="N98" s="410"/>
      <c r="O98" s="373">
        <v>17</v>
      </c>
      <c r="P98" s="373">
        <v>6150</v>
      </c>
      <c r="Q98" s="334" t="e">
        <f t="shared" si="38"/>
        <v>#DIV/0!</v>
      </c>
      <c r="R98" s="430"/>
      <c r="S98" s="430"/>
      <c r="T98" s="430"/>
      <c r="U98" s="430"/>
      <c r="V98" s="430"/>
      <c r="W98" s="430"/>
    </row>
    <row r="99" spans="1:23" ht="15.75" x14ac:dyDescent="0.25">
      <c r="A99" s="329">
        <v>10</v>
      </c>
      <c r="B99" s="303" t="s">
        <v>15</v>
      </c>
      <c r="C99" s="415">
        <f t="shared" si="39"/>
        <v>21</v>
      </c>
      <c r="D99" s="368">
        <f t="shared" si="40"/>
        <v>0</v>
      </c>
      <c r="E99" s="368">
        <f t="shared" si="41"/>
        <v>6</v>
      </c>
      <c r="F99" s="368">
        <f t="shared" si="42"/>
        <v>5450</v>
      </c>
      <c r="G99" s="337">
        <f t="shared" si="36"/>
        <v>0.2857142857142857</v>
      </c>
      <c r="H99" s="419">
        <v>7</v>
      </c>
      <c r="I99" s="407"/>
      <c r="J99" s="407"/>
      <c r="K99" s="407"/>
      <c r="L99" s="333">
        <f t="shared" si="37"/>
        <v>0</v>
      </c>
      <c r="M99" s="415">
        <f t="shared" si="43"/>
        <v>14</v>
      </c>
      <c r="N99" s="407"/>
      <c r="O99" s="410">
        <v>6</v>
      </c>
      <c r="P99" s="410">
        <v>5450</v>
      </c>
      <c r="Q99" s="334">
        <f t="shared" si="38"/>
        <v>0.42857142857142855</v>
      </c>
      <c r="R99" s="430"/>
      <c r="S99" s="430"/>
      <c r="T99" s="430"/>
      <c r="U99" s="430"/>
      <c r="V99" s="430"/>
      <c r="W99" s="430"/>
    </row>
    <row r="100" spans="1:23" ht="15.75" x14ac:dyDescent="0.25">
      <c r="A100" s="329">
        <v>11</v>
      </c>
      <c r="B100" s="303" t="s">
        <v>155</v>
      </c>
      <c r="C100" s="415">
        <f t="shared" si="39"/>
        <v>23</v>
      </c>
      <c r="D100" s="368">
        <f t="shared" si="40"/>
        <v>0</v>
      </c>
      <c r="E100" s="368">
        <f t="shared" si="41"/>
        <v>0</v>
      </c>
      <c r="F100" s="368">
        <f t="shared" si="42"/>
        <v>0</v>
      </c>
      <c r="G100" s="337">
        <f t="shared" si="36"/>
        <v>0</v>
      </c>
      <c r="H100" s="419">
        <v>17</v>
      </c>
      <c r="I100" s="410"/>
      <c r="J100" s="410"/>
      <c r="K100" s="410"/>
      <c r="L100" s="333">
        <f t="shared" si="37"/>
        <v>0</v>
      </c>
      <c r="M100" s="415">
        <f t="shared" si="43"/>
        <v>6</v>
      </c>
      <c r="N100" s="410"/>
      <c r="O100" s="410"/>
      <c r="P100" s="410"/>
      <c r="Q100" s="334">
        <f t="shared" si="38"/>
        <v>0</v>
      </c>
      <c r="R100" s="430"/>
      <c r="S100" s="430"/>
      <c r="T100" s="430"/>
      <c r="U100" s="430"/>
      <c r="V100" s="430"/>
      <c r="W100" s="430"/>
    </row>
    <row r="101" spans="1:23" ht="15.75" x14ac:dyDescent="0.25">
      <c r="A101" s="329">
        <v>12</v>
      </c>
      <c r="B101" s="303" t="s">
        <v>17</v>
      </c>
      <c r="C101" s="414">
        <f t="shared" si="39"/>
        <v>29</v>
      </c>
      <c r="D101" s="367">
        <f t="shared" si="40"/>
        <v>0</v>
      </c>
      <c r="E101" s="367">
        <f t="shared" si="41"/>
        <v>0</v>
      </c>
      <c r="F101" s="367">
        <f t="shared" si="42"/>
        <v>0</v>
      </c>
      <c r="G101" s="331">
        <f t="shared" si="36"/>
        <v>0</v>
      </c>
      <c r="H101" s="418">
        <v>9</v>
      </c>
      <c r="I101" s="409"/>
      <c r="J101" s="409"/>
      <c r="K101" s="409"/>
      <c r="L101" s="333">
        <f t="shared" si="37"/>
        <v>0</v>
      </c>
      <c r="M101" s="414">
        <f t="shared" si="43"/>
        <v>20</v>
      </c>
      <c r="N101" s="409"/>
      <c r="O101" s="409"/>
      <c r="P101" s="409"/>
      <c r="Q101" s="334">
        <f t="shared" si="38"/>
        <v>0</v>
      </c>
      <c r="R101" s="430"/>
      <c r="S101" s="430"/>
      <c r="T101" s="430"/>
      <c r="U101" s="430"/>
      <c r="V101" s="430"/>
      <c r="W101" s="430"/>
    </row>
    <row r="102" spans="1:23" ht="16.5" thickBot="1" x14ac:dyDescent="0.3">
      <c r="A102" s="405">
        <v>13</v>
      </c>
      <c r="B102" s="404" t="s">
        <v>18</v>
      </c>
      <c r="C102" s="416">
        <f t="shared" si="39"/>
        <v>19</v>
      </c>
      <c r="D102" s="369">
        <f t="shared" si="40"/>
        <v>0</v>
      </c>
      <c r="E102" s="369">
        <f t="shared" si="41"/>
        <v>11</v>
      </c>
      <c r="F102" s="369">
        <f t="shared" si="42"/>
        <v>4500</v>
      </c>
      <c r="G102" s="341">
        <f t="shared" si="36"/>
        <v>0.57894736842105265</v>
      </c>
      <c r="H102" s="420">
        <v>14</v>
      </c>
      <c r="I102" s="411"/>
      <c r="J102" s="411"/>
      <c r="K102" s="411"/>
      <c r="L102" s="343">
        <f t="shared" si="37"/>
        <v>0</v>
      </c>
      <c r="M102" s="416">
        <v>5</v>
      </c>
      <c r="N102" s="411"/>
      <c r="O102" s="411">
        <v>11</v>
      </c>
      <c r="P102" s="411">
        <v>4500</v>
      </c>
      <c r="Q102" s="344">
        <f t="shared" si="38"/>
        <v>2.2000000000000002</v>
      </c>
      <c r="R102" s="430"/>
      <c r="S102" s="430"/>
      <c r="T102" s="430"/>
      <c r="U102" s="430"/>
      <c r="V102" s="430"/>
      <c r="W102" s="430"/>
    </row>
    <row r="103" spans="1:23" ht="15.75" x14ac:dyDescent="0.25">
      <c r="A103" s="510"/>
      <c r="B103" s="510"/>
      <c r="C103" s="511"/>
      <c r="D103" s="512"/>
      <c r="E103" s="512"/>
      <c r="F103" s="512"/>
      <c r="G103" s="513"/>
      <c r="H103" s="515"/>
      <c r="I103" s="515"/>
      <c r="J103" s="515"/>
      <c r="K103" s="515"/>
      <c r="L103" s="516"/>
      <c r="M103" s="515"/>
      <c r="N103" s="515"/>
      <c r="O103" s="515"/>
      <c r="P103" s="515"/>
      <c r="Q103" s="514"/>
      <c r="R103" s="430"/>
      <c r="S103" s="430"/>
      <c r="T103" s="430"/>
      <c r="U103" s="430"/>
      <c r="V103" s="430"/>
      <c r="W103" s="430"/>
    </row>
    <row r="104" spans="1:23" ht="15.75" thickBot="1" x14ac:dyDescent="0.3">
      <c r="B104" s="484">
        <v>45139</v>
      </c>
      <c r="R104" s="430"/>
      <c r="S104" s="430"/>
      <c r="T104" s="430"/>
      <c r="U104" s="430"/>
      <c r="V104" s="430"/>
      <c r="W104" s="430"/>
    </row>
    <row r="105" spans="1:23" ht="16.5" thickBot="1" x14ac:dyDescent="0.3">
      <c r="A105" s="701" t="s">
        <v>0</v>
      </c>
      <c r="B105" s="705" t="s">
        <v>211</v>
      </c>
      <c r="C105" s="673" t="s">
        <v>212</v>
      </c>
      <c r="D105" s="721"/>
      <c r="E105" s="721"/>
      <c r="F105" s="721"/>
      <c r="G105" s="674"/>
      <c r="H105" s="723" t="s">
        <v>128</v>
      </c>
      <c r="I105" s="724"/>
      <c r="J105" s="724"/>
      <c r="K105" s="724"/>
      <c r="L105" s="724"/>
      <c r="M105" s="724"/>
      <c r="N105" s="724"/>
      <c r="O105" s="724"/>
      <c r="P105" s="724"/>
      <c r="Q105" s="725"/>
      <c r="R105" s="430"/>
      <c r="S105" s="430"/>
      <c r="T105" s="430"/>
      <c r="U105" s="430"/>
      <c r="V105" s="430"/>
      <c r="W105" s="430"/>
    </row>
    <row r="106" spans="1:23" ht="15.75" x14ac:dyDescent="0.25">
      <c r="A106" s="702"/>
      <c r="B106" s="706"/>
      <c r="C106" s="677"/>
      <c r="D106" s="722"/>
      <c r="E106" s="722"/>
      <c r="F106" s="722"/>
      <c r="G106" s="678"/>
      <c r="H106" s="726" t="s">
        <v>213</v>
      </c>
      <c r="I106" s="726"/>
      <c r="J106" s="726"/>
      <c r="K106" s="726"/>
      <c r="L106" s="726"/>
      <c r="M106" s="727" t="s">
        <v>214</v>
      </c>
      <c r="N106" s="726"/>
      <c r="O106" s="726"/>
      <c r="P106" s="726"/>
      <c r="Q106" s="728"/>
      <c r="R106" s="430"/>
      <c r="S106" s="430"/>
      <c r="T106" s="430"/>
      <c r="U106" s="430"/>
      <c r="V106" s="430"/>
      <c r="W106" s="430"/>
    </row>
    <row r="107" spans="1:23" ht="15.75" x14ac:dyDescent="0.25">
      <c r="A107" s="703"/>
      <c r="B107" s="707"/>
      <c r="C107" s="682" t="s">
        <v>143</v>
      </c>
      <c r="D107" s="683"/>
      <c r="E107" s="686" t="s">
        <v>198</v>
      </c>
      <c r="F107" s="683"/>
      <c r="G107" s="729" t="s">
        <v>199</v>
      </c>
      <c r="H107" s="709" t="s">
        <v>143</v>
      </c>
      <c r="I107" s="683"/>
      <c r="J107" s="686" t="s">
        <v>198</v>
      </c>
      <c r="K107" s="683"/>
      <c r="L107" s="686" t="s">
        <v>199</v>
      </c>
      <c r="M107" s="682" t="s">
        <v>143</v>
      </c>
      <c r="N107" s="683"/>
      <c r="O107" s="686" t="s">
        <v>198</v>
      </c>
      <c r="P107" s="683"/>
      <c r="Q107" s="509" t="s">
        <v>199</v>
      </c>
      <c r="R107" s="430"/>
      <c r="S107" s="430"/>
      <c r="T107" s="430"/>
      <c r="U107" s="430"/>
      <c r="V107" s="430"/>
      <c r="W107" s="430"/>
    </row>
    <row r="108" spans="1:23" ht="16.5" thickBot="1" x14ac:dyDescent="0.3">
      <c r="A108" s="703"/>
      <c r="B108" s="707"/>
      <c r="C108" s="504" t="s">
        <v>203</v>
      </c>
      <c r="D108" s="319" t="s">
        <v>204</v>
      </c>
      <c r="E108" s="319" t="s">
        <v>203</v>
      </c>
      <c r="F108" s="319" t="s">
        <v>204</v>
      </c>
      <c r="G108" s="730"/>
      <c r="H108" s="320" t="s">
        <v>203</v>
      </c>
      <c r="I108" s="319" t="s">
        <v>204</v>
      </c>
      <c r="J108" s="319" t="s">
        <v>203</v>
      </c>
      <c r="K108" s="319" t="s">
        <v>204</v>
      </c>
      <c r="L108" s="731"/>
      <c r="M108" s="504" t="s">
        <v>203</v>
      </c>
      <c r="N108" s="319" t="s">
        <v>204</v>
      </c>
      <c r="O108" s="319" t="s">
        <v>203</v>
      </c>
      <c r="P108" s="319" t="s">
        <v>204</v>
      </c>
      <c r="Q108" s="506" t="s">
        <v>203</v>
      </c>
      <c r="R108" s="430"/>
      <c r="S108" s="430"/>
      <c r="T108" s="430"/>
      <c r="U108" s="430"/>
      <c r="V108" s="430"/>
      <c r="W108" s="430"/>
    </row>
    <row r="109" spans="1:23" ht="16.5" thickBot="1" x14ac:dyDescent="0.3">
      <c r="A109" s="719" t="s">
        <v>163</v>
      </c>
      <c r="B109" s="720"/>
      <c r="C109" s="412">
        <f>SUM(C110:C122)</f>
        <v>263</v>
      </c>
      <c r="D109" s="370">
        <f>SUM(D110:D122)</f>
        <v>0</v>
      </c>
      <c r="E109" s="370">
        <f>SUM(E110:E122)</f>
        <v>150</v>
      </c>
      <c r="F109" s="370">
        <f>SUM(F110:F122)</f>
        <v>147182</v>
      </c>
      <c r="G109" s="322">
        <f t="shared" ref="G109:G122" si="44">+E109/C109</f>
        <v>0.57034220532319391</v>
      </c>
      <c r="H109" s="413">
        <f>SUM(H110:H122)</f>
        <v>145</v>
      </c>
      <c r="I109" s="370">
        <f>SUM(I110:I122)</f>
        <v>0</v>
      </c>
      <c r="J109" s="370">
        <f>SUM(J110:J122)</f>
        <v>2</v>
      </c>
      <c r="K109" s="370">
        <f>SUM(K110:K122)</f>
        <v>8099</v>
      </c>
      <c r="L109" s="322">
        <f t="shared" ref="L109:L122" si="45">+J109/H109</f>
        <v>1.3793103448275862E-2</v>
      </c>
      <c r="M109" s="412">
        <f>SUM(M110:M122)</f>
        <v>118</v>
      </c>
      <c r="N109" s="370">
        <f>SUM(N110:N122)</f>
        <v>0</v>
      </c>
      <c r="O109" s="370">
        <f>SUM(O110:O122)</f>
        <v>148</v>
      </c>
      <c r="P109" s="370">
        <f>SUM(P110:P122)</f>
        <v>139083</v>
      </c>
      <c r="Q109" s="322">
        <f t="shared" ref="Q109:Q122" si="46">+O109/M109</f>
        <v>1.2542372881355932</v>
      </c>
      <c r="R109" s="430"/>
      <c r="S109" s="430"/>
      <c r="T109" s="430"/>
      <c r="U109" s="430"/>
      <c r="V109" s="430"/>
      <c r="W109" s="430"/>
    </row>
    <row r="110" spans="1:23" ht="15.75" x14ac:dyDescent="0.25">
      <c r="A110" s="545">
        <v>1</v>
      </c>
      <c r="B110" s="546" t="s">
        <v>205</v>
      </c>
      <c r="C110" s="545">
        <f t="shared" ref="C110:F122" si="47">+H110+M110</f>
        <v>51</v>
      </c>
      <c r="D110" s="366">
        <f t="shared" si="47"/>
        <v>0</v>
      </c>
      <c r="E110" s="366">
        <f t="shared" si="47"/>
        <v>6</v>
      </c>
      <c r="F110" s="366">
        <f t="shared" si="47"/>
        <v>6000</v>
      </c>
      <c r="G110" s="326">
        <f t="shared" si="44"/>
        <v>0.11764705882352941</v>
      </c>
      <c r="H110" s="547">
        <v>14</v>
      </c>
      <c r="I110" s="548"/>
      <c r="J110" s="406"/>
      <c r="K110" s="406"/>
      <c r="L110" s="328">
        <f t="shared" si="45"/>
        <v>0</v>
      </c>
      <c r="M110" s="545">
        <f t="shared" ref="M110:M121" si="48">M90-O90</f>
        <v>37</v>
      </c>
      <c r="N110" s="548"/>
      <c r="O110" s="406">
        <v>6</v>
      </c>
      <c r="P110" s="406">
        <v>6000</v>
      </c>
      <c r="Q110" s="326">
        <f t="shared" si="46"/>
        <v>0.16216216216216217</v>
      </c>
      <c r="R110" s="430"/>
      <c r="S110" s="430"/>
      <c r="T110" s="430"/>
      <c r="U110" s="430"/>
      <c r="V110" s="430"/>
      <c r="W110" s="430"/>
    </row>
    <row r="111" spans="1:23" ht="15.75" x14ac:dyDescent="0.25">
      <c r="A111" s="549">
        <v>2</v>
      </c>
      <c r="B111" s="550" t="s">
        <v>147</v>
      </c>
      <c r="C111" s="549">
        <f t="shared" si="47"/>
        <v>13</v>
      </c>
      <c r="D111" s="367">
        <f t="shared" si="47"/>
        <v>0</v>
      </c>
      <c r="E111" s="367">
        <f t="shared" si="47"/>
        <v>21</v>
      </c>
      <c r="F111" s="367">
        <f t="shared" si="47"/>
        <v>15500</v>
      </c>
      <c r="G111" s="331">
        <f t="shared" si="44"/>
        <v>1.6153846153846154</v>
      </c>
      <c r="H111" s="551">
        <v>8</v>
      </c>
      <c r="I111" s="552"/>
      <c r="J111" s="553"/>
      <c r="K111" s="553"/>
      <c r="L111" s="333">
        <f t="shared" si="45"/>
        <v>0</v>
      </c>
      <c r="M111" s="549">
        <f t="shared" si="48"/>
        <v>5</v>
      </c>
      <c r="N111" s="552"/>
      <c r="O111" s="553">
        <v>21</v>
      </c>
      <c r="P111" s="553">
        <v>15500</v>
      </c>
      <c r="Q111" s="334">
        <f t="shared" si="46"/>
        <v>4.2</v>
      </c>
      <c r="R111" s="430"/>
      <c r="S111" s="430"/>
      <c r="T111" s="430"/>
      <c r="U111" s="430"/>
      <c r="V111" s="430"/>
      <c r="W111" s="430"/>
    </row>
    <row r="112" spans="1:23" ht="15.75" x14ac:dyDescent="0.25">
      <c r="A112" s="549">
        <v>3</v>
      </c>
      <c r="B112" s="550" t="s">
        <v>148</v>
      </c>
      <c r="C112" s="554">
        <f t="shared" si="47"/>
        <v>12</v>
      </c>
      <c r="D112" s="368">
        <f t="shared" si="47"/>
        <v>0</v>
      </c>
      <c r="E112" s="368">
        <f t="shared" si="47"/>
        <v>0</v>
      </c>
      <c r="F112" s="368">
        <f t="shared" si="47"/>
        <v>0</v>
      </c>
      <c r="G112" s="337">
        <f t="shared" si="44"/>
        <v>0</v>
      </c>
      <c r="H112" s="555">
        <v>4</v>
      </c>
      <c r="I112" s="556"/>
      <c r="J112" s="557"/>
      <c r="K112" s="557"/>
      <c r="L112" s="333">
        <f t="shared" si="45"/>
        <v>0</v>
      </c>
      <c r="M112" s="554">
        <f t="shared" si="48"/>
        <v>8</v>
      </c>
      <c r="N112" s="556"/>
      <c r="O112" s="557"/>
      <c r="P112" s="557"/>
      <c r="Q112" s="334">
        <f t="shared" si="46"/>
        <v>0</v>
      </c>
      <c r="R112" s="430"/>
      <c r="S112" s="430"/>
      <c r="T112" s="430"/>
      <c r="U112" s="430"/>
      <c r="V112" s="430"/>
      <c r="W112" s="430"/>
    </row>
    <row r="113" spans="1:23" ht="15.75" x14ac:dyDescent="0.25">
      <c r="A113" s="549">
        <v>4</v>
      </c>
      <c r="B113" s="550" t="s">
        <v>206</v>
      </c>
      <c r="C113" s="554">
        <f t="shared" si="47"/>
        <v>15</v>
      </c>
      <c r="D113" s="368">
        <f t="shared" si="47"/>
        <v>0</v>
      </c>
      <c r="E113" s="368">
        <f t="shared" si="47"/>
        <v>47</v>
      </c>
      <c r="F113" s="368">
        <f t="shared" si="47"/>
        <v>33083</v>
      </c>
      <c r="G113" s="337">
        <f t="shared" si="44"/>
        <v>3.1333333333333333</v>
      </c>
      <c r="H113" s="555">
        <v>12</v>
      </c>
      <c r="I113" s="556"/>
      <c r="J113" s="557"/>
      <c r="K113" s="557"/>
      <c r="L113" s="333">
        <f t="shared" si="45"/>
        <v>0</v>
      </c>
      <c r="M113" s="554">
        <f t="shared" si="48"/>
        <v>3</v>
      </c>
      <c r="N113" s="556"/>
      <c r="O113" s="557">
        <v>47</v>
      </c>
      <c r="P113" s="557">
        <v>33083</v>
      </c>
      <c r="Q113" s="334">
        <f t="shared" si="46"/>
        <v>15.666666666666666</v>
      </c>
      <c r="R113" s="430"/>
      <c r="S113" s="430"/>
      <c r="T113" s="430"/>
      <c r="U113" s="430"/>
      <c r="V113" s="430"/>
      <c r="W113" s="430"/>
    </row>
    <row r="114" spans="1:23" ht="15.75" x14ac:dyDescent="0.25">
      <c r="A114" s="549">
        <v>5</v>
      </c>
      <c r="B114" s="550" t="s">
        <v>174</v>
      </c>
      <c r="C114" s="554">
        <f t="shared" si="47"/>
        <v>15</v>
      </c>
      <c r="D114" s="368">
        <f t="shared" si="47"/>
        <v>0</v>
      </c>
      <c r="E114" s="368">
        <f t="shared" si="47"/>
        <v>0</v>
      </c>
      <c r="F114" s="368">
        <f t="shared" si="47"/>
        <v>0</v>
      </c>
      <c r="G114" s="337">
        <f t="shared" si="44"/>
        <v>0</v>
      </c>
      <c r="H114" s="555">
        <v>8</v>
      </c>
      <c r="I114" s="556"/>
      <c r="J114" s="557"/>
      <c r="K114" s="557"/>
      <c r="L114" s="333">
        <f t="shared" si="45"/>
        <v>0</v>
      </c>
      <c r="M114" s="554">
        <f t="shared" si="48"/>
        <v>7</v>
      </c>
      <c r="N114" s="556"/>
      <c r="O114" s="557"/>
      <c r="P114" s="558"/>
      <c r="Q114" s="334">
        <f t="shared" si="46"/>
        <v>0</v>
      </c>
      <c r="R114" s="430"/>
      <c r="S114" s="430"/>
      <c r="T114" s="430"/>
      <c r="U114" s="430"/>
      <c r="V114" s="430"/>
      <c r="W114" s="430"/>
    </row>
    <row r="115" spans="1:23" ht="15.75" x14ac:dyDescent="0.25">
      <c r="A115" s="549">
        <v>6</v>
      </c>
      <c r="B115" s="550" t="s">
        <v>151</v>
      </c>
      <c r="C115" s="554">
        <f t="shared" si="47"/>
        <v>21</v>
      </c>
      <c r="D115" s="368">
        <f t="shared" si="47"/>
        <v>0</v>
      </c>
      <c r="E115" s="368">
        <f t="shared" si="47"/>
        <v>7</v>
      </c>
      <c r="F115" s="368">
        <f t="shared" si="47"/>
        <v>18000</v>
      </c>
      <c r="G115" s="337">
        <f t="shared" si="44"/>
        <v>0.33333333333333331</v>
      </c>
      <c r="H115" s="555">
        <v>6</v>
      </c>
      <c r="I115" s="556"/>
      <c r="J115" s="557"/>
      <c r="K115" s="557"/>
      <c r="L115" s="333">
        <f t="shared" si="45"/>
        <v>0</v>
      </c>
      <c r="M115" s="554">
        <f t="shared" si="48"/>
        <v>15</v>
      </c>
      <c r="N115" s="556"/>
      <c r="O115" s="558">
        <v>7</v>
      </c>
      <c r="P115" s="558">
        <v>18000</v>
      </c>
      <c r="Q115" s="334">
        <f t="shared" si="46"/>
        <v>0.46666666666666667</v>
      </c>
      <c r="R115" s="430"/>
      <c r="S115" s="430"/>
      <c r="T115" s="430"/>
      <c r="U115" s="430"/>
      <c r="V115" s="430"/>
      <c r="W115" s="430"/>
    </row>
    <row r="116" spans="1:23" ht="15.75" x14ac:dyDescent="0.25">
      <c r="A116" s="549">
        <v>7</v>
      </c>
      <c r="B116" s="550" t="s">
        <v>207</v>
      </c>
      <c r="C116" s="554">
        <f t="shared" si="47"/>
        <v>22</v>
      </c>
      <c r="D116" s="368">
        <f t="shared" si="47"/>
        <v>0</v>
      </c>
      <c r="E116" s="368">
        <f t="shared" si="47"/>
        <v>22</v>
      </c>
      <c r="F116" s="368">
        <f t="shared" si="47"/>
        <v>11000</v>
      </c>
      <c r="G116" s="337">
        <f t="shared" si="44"/>
        <v>1</v>
      </c>
      <c r="H116" s="555">
        <v>22</v>
      </c>
      <c r="I116" s="556"/>
      <c r="J116" s="557"/>
      <c r="K116" s="557"/>
      <c r="L116" s="333">
        <f t="shared" si="45"/>
        <v>0</v>
      </c>
      <c r="M116" s="554">
        <f t="shared" si="48"/>
        <v>0</v>
      </c>
      <c r="N116" s="556"/>
      <c r="O116" s="558">
        <v>22</v>
      </c>
      <c r="P116" s="558">
        <v>11000</v>
      </c>
      <c r="Q116" s="334" t="e">
        <f t="shared" si="46"/>
        <v>#DIV/0!</v>
      </c>
      <c r="R116" s="430"/>
      <c r="S116" s="430"/>
      <c r="T116" s="430"/>
      <c r="U116" s="430"/>
      <c r="V116" s="430"/>
      <c r="W116" s="430"/>
    </row>
    <row r="117" spans="1:23" ht="15.75" x14ac:dyDescent="0.25">
      <c r="A117" s="549">
        <v>8</v>
      </c>
      <c r="B117" s="550" t="s">
        <v>153</v>
      </c>
      <c r="C117" s="554">
        <f t="shared" si="47"/>
        <v>17</v>
      </c>
      <c r="D117" s="368">
        <f t="shared" si="47"/>
        <v>0</v>
      </c>
      <c r="E117" s="368">
        <f t="shared" si="47"/>
        <v>0</v>
      </c>
      <c r="F117" s="368">
        <f t="shared" si="47"/>
        <v>0</v>
      </c>
      <c r="G117" s="337">
        <f t="shared" si="44"/>
        <v>0</v>
      </c>
      <c r="H117" s="555">
        <v>13</v>
      </c>
      <c r="I117" s="559"/>
      <c r="J117" s="407"/>
      <c r="K117" s="407"/>
      <c r="L117" s="333">
        <f t="shared" si="45"/>
        <v>0</v>
      </c>
      <c r="M117" s="554">
        <f t="shared" si="48"/>
        <v>4</v>
      </c>
      <c r="N117" s="559"/>
      <c r="O117" s="558"/>
      <c r="P117" s="558"/>
      <c r="Q117" s="334">
        <f t="shared" si="46"/>
        <v>0</v>
      </c>
      <c r="R117" s="430"/>
      <c r="S117" s="430"/>
      <c r="T117" s="430"/>
      <c r="U117" s="430"/>
      <c r="V117" s="430"/>
      <c r="W117" s="430"/>
    </row>
    <row r="118" spans="1:23" ht="15.75" x14ac:dyDescent="0.25">
      <c r="A118" s="549">
        <v>9</v>
      </c>
      <c r="B118" s="550" t="s">
        <v>154</v>
      </c>
      <c r="C118" s="554">
        <f t="shared" si="47"/>
        <v>11</v>
      </c>
      <c r="D118" s="368">
        <f t="shared" si="47"/>
        <v>0</v>
      </c>
      <c r="E118" s="368">
        <f t="shared" si="47"/>
        <v>19</v>
      </c>
      <c r="F118" s="368">
        <f t="shared" si="47"/>
        <v>12350</v>
      </c>
      <c r="G118" s="337">
        <f t="shared" si="44"/>
        <v>1.7272727272727273</v>
      </c>
      <c r="H118" s="555">
        <v>11</v>
      </c>
      <c r="I118" s="556"/>
      <c r="J118" s="557"/>
      <c r="K118" s="557"/>
      <c r="L118" s="333">
        <f t="shared" si="45"/>
        <v>0</v>
      </c>
      <c r="M118" s="554">
        <v>0</v>
      </c>
      <c r="N118" s="556"/>
      <c r="O118" s="558">
        <v>19</v>
      </c>
      <c r="P118" s="558">
        <v>12350</v>
      </c>
      <c r="Q118" s="334" t="e">
        <f t="shared" si="46"/>
        <v>#DIV/0!</v>
      </c>
      <c r="R118" s="430"/>
      <c r="S118" s="430">
        <v>1200</v>
      </c>
      <c r="T118" s="430" t="s">
        <v>599</v>
      </c>
      <c r="U118" s="430"/>
      <c r="V118" s="430"/>
      <c r="W118" s="430"/>
    </row>
    <row r="119" spans="1:23" ht="15.75" x14ac:dyDescent="0.25">
      <c r="A119" s="549">
        <v>10</v>
      </c>
      <c r="B119" s="550" t="s">
        <v>15</v>
      </c>
      <c r="C119" s="554">
        <f t="shared" si="47"/>
        <v>15</v>
      </c>
      <c r="D119" s="368">
        <f t="shared" si="47"/>
        <v>0</v>
      </c>
      <c r="E119" s="368">
        <f t="shared" si="47"/>
        <v>0</v>
      </c>
      <c r="F119" s="368">
        <f t="shared" si="47"/>
        <v>0</v>
      </c>
      <c r="G119" s="337">
        <f t="shared" si="44"/>
        <v>0</v>
      </c>
      <c r="H119" s="555">
        <v>7</v>
      </c>
      <c r="I119" s="559"/>
      <c r="J119" s="407"/>
      <c r="K119" s="407"/>
      <c r="L119" s="333">
        <f t="shared" si="45"/>
        <v>0</v>
      </c>
      <c r="M119" s="554">
        <f t="shared" si="48"/>
        <v>8</v>
      </c>
      <c r="N119" s="559"/>
      <c r="O119" s="557"/>
      <c r="P119" s="557"/>
      <c r="Q119" s="334">
        <f t="shared" si="46"/>
        <v>0</v>
      </c>
      <c r="R119" s="430"/>
      <c r="S119" s="430"/>
      <c r="T119" s="430"/>
      <c r="U119" s="430"/>
      <c r="V119" s="430"/>
      <c r="W119" s="430"/>
    </row>
    <row r="120" spans="1:23" ht="15.75" x14ac:dyDescent="0.25">
      <c r="A120" s="549">
        <v>11</v>
      </c>
      <c r="B120" s="550" t="s">
        <v>155</v>
      </c>
      <c r="C120" s="554">
        <f t="shared" si="47"/>
        <v>23</v>
      </c>
      <c r="D120" s="368">
        <f t="shared" si="47"/>
        <v>0</v>
      </c>
      <c r="E120" s="368">
        <f t="shared" si="47"/>
        <v>7</v>
      </c>
      <c r="F120" s="368">
        <f t="shared" si="47"/>
        <v>15099</v>
      </c>
      <c r="G120" s="337">
        <f t="shared" si="44"/>
        <v>0.30434782608695654</v>
      </c>
      <c r="H120" s="555">
        <v>17</v>
      </c>
      <c r="I120" s="556"/>
      <c r="J120" s="557">
        <v>2</v>
      </c>
      <c r="K120" s="557">
        <v>8099</v>
      </c>
      <c r="L120" s="333">
        <f t="shared" si="45"/>
        <v>0.11764705882352941</v>
      </c>
      <c r="M120" s="554">
        <f t="shared" si="48"/>
        <v>6</v>
      </c>
      <c r="N120" s="556"/>
      <c r="O120" s="557">
        <v>5</v>
      </c>
      <c r="P120" s="557">
        <v>7000</v>
      </c>
      <c r="Q120" s="334">
        <f t="shared" si="46"/>
        <v>0.83333333333333337</v>
      </c>
      <c r="R120" s="430"/>
      <c r="S120" s="430"/>
      <c r="T120" s="430"/>
      <c r="U120" s="430"/>
      <c r="V120" s="430"/>
      <c r="W120" s="430"/>
    </row>
    <row r="121" spans="1:23" ht="15.75" x14ac:dyDescent="0.25">
      <c r="A121" s="549">
        <v>12</v>
      </c>
      <c r="B121" s="550" t="s">
        <v>17</v>
      </c>
      <c r="C121" s="549">
        <f t="shared" si="47"/>
        <v>29</v>
      </c>
      <c r="D121" s="367">
        <f t="shared" si="47"/>
        <v>0</v>
      </c>
      <c r="E121" s="367">
        <f t="shared" si="47"/>
        <v>10</v>
      </c>
      <c r="F121" s="367">
        <f t="shared" si="47"/>
        <v>30900</v>
      </c>
      <c r="G121" s="331">
        <f t="shared" si="44"/>
        <v>0.34482758620689657</v>
      </c>
      <c r="H121" s="551">
        <v>9</v>
      </c>
      <c r="I121" s="552"/>
      <c r="J121" s="553"/>
      <c r="K121" s="553"/>
      <c r="L121" s="333">
        <f t="shared" si="45"/>
        <v>0</v>
      </c>
      <c r="M121" s="549">
        <f t="shared" si="48"/>
        <v>20</v>
      </c>
      <c r="N121" s="552"/>
      <c r="O121" s="553">
        <v>10</v>
      </c>
      <c r="P121" s="553">
        <v>30900</v>
      </c>
      <c r="Q121" s="334">
        <f t="shared" si="46"/>
        <v>0.5</v>
      </c>
      <c r="R121" s="430"/>
      <c r="S121" s="430">
        <v>4000</v>
      </c>
      <c r="T121" s="430" t="s">
        <v>599</v>
      </c>
      <c r="U121" s="430"/>
      <c r="V121" s="430"/>
      <c r="W121" s="430"/>
    </row>
    <row r="122" spans="1:23" ht="16.5" thickBot="1" x14ac:dyDescent="0.3">
      <c r="A122" s="560">
        <v>13</v>
      </c>
      <c r="B122" s="561" t="s">
        <v>18</v>
      </c>
      <c r="C122" s="562">
        <f t="shared" si="47"/>
        <v>19</v>
      </c>
      <c r="D122" s="369">
        <f t="shared" si="47"/>
        <v>0</v>
      </c>
      <c r="E122" s="369">
        <f t="shared" si="47"/>
        <v>11</v>
      </c>
      <c r="F122" s="369">
        <f t="shared" si="47"/>
        <v>5250</v>
      </c>
      <c r="G122" s="341">
        <f t="shared" si="44"/>
        <v>0.57894736842105265</v>
      </c>
      <c r="H122" s="563">
        <v>14</v>
      </c>
      <c r="I122" s="564"/>
      <c r="J122" s="565"/>
      <c r="K122" s="565"/>
      <c r="L122" s="343">
        <f t="shared" si="45"/>
        <v>0</v>
      </c>
      <c r="M122" s="562">
        <v>5</v>
      </c>
      <c r="N122" s="564"/>
      <c r="O122" s="565">
        <v>11</v>
      </c>
      <c r="P122" s="565">
        <v>5250</v>
      </c>
      <c r="Q122" s="344">
        <f t="shared" si="46"/>
        <v>2.2000000000000002</v>
      </c>
      <c r="R122" s="430"/>
      <c r="S122" s="430"/>
      <c r="T122" s="430"/>
      <c r="U122" s="430"/>
      <c r="V122" s="430"/>
      <c r="W122" s="430"/>
    </row>
    <row r="123" spans="1:23" x14ac:dyDescent="0.25">
      <c r="R123" s="430"/>
      <c r="S123" s="430"/>
      <c r="T123" s="430"/>
      <c r="U123" s="430"/>
      <c r="V123" s="430"/>
      <c r="W123" s="430"/>
    </row>
    <row r="124" spans="1:23" ht="16.5" customHeight="1" thickBot="1" x14ac:dyDescent="0.3">
      <c r="B124" s="484">
        <v>45170</v>
      </c>
      <c r="R124" s="430"/>
      <c r="S124" s="430"/>
      <c r="T124" s="430"/>
      <c r="U124" s="430"/>
      <c r="V124" s="430"/>
      <c r="W124" s="430"/>
    </row>
    <row r="125" spans="1:23" ht="15.75" customHeight="1" thickBot="1" x14ac:dyDescent="0.3">
      <c r="A125" s="701" t="s">
        <v>0</v>
      </c>
      <c r="B125" s="705" t="s">
        <v>211</v>
      </c>
      <c r="C125" s="673" t="s">
        <v>212</v>
      </c>
      <c r="D125" s="721"/>
      <c r="E125" s="721"/>
      <c r="F125" s="721"/>
      <c r="G125" s="674"/>
      <c r="H125" s="723" t="s">
        <v>128</v>
      </c>
      <c r="I125" s="724"/>
      <c r="J125" s="724"/>
      <c r="K125" s="724"/>
      <c r="L125" s="724"/>
      <c r="M125" s="724"/>
      <c r="N125" s="724"/>
      <c r="O125" s="724"/>
      <c r="P125" s="724"/>
      <c r="Q125" s="725"/>
      <c r="R125" s="430"/>
      <c r="S125" s="430"/>
      <c r="T125" s="430"/>
      <c r="U125" s="430"/>
      <c r="V125" s="430"/>
      <c r="W125" s="430"/>
    </row>
    <row r="126" spans="1:23" ht="15.75" x14ac:dyDescent="0.25">
      <c r="A126" s="702"/>
      <c r="B126" s="706"/>
      <c r="C126" s="677"/>
      <c r="D126" s="722"/>
      <c r="E126" s="722"/>
      <c r="F126" s="722"/>
      <c r="G126" s="678"/>
      <c r="H126" s="726" t="s">
        <v>213</v>
      </c>
      <c r="I126" s="726"/>
      <c r="J126" s="726"/>
      <c r="K126" s="726"/>
      <c r="L126" s="726"/>
      <c r="M126" s="727" t="s">
        <v>214</v>
      </c>
      <c r="N126" s="726"/>
      <c r="O126" s="726"/>
      <c r="P126" s="726"/>
      <c r="Q126" s="728"/>
      <c r="R126" s="430"/>
      <c r="S126" s="430"/>
      <c r="T126" s="430"/>
      <c r="U126" s="430"/>
      <c r="V126" s="430"/>
      <c r="W126" s="430"/>
    </row>
    <row r="127" spans="1:23" ht="15.75" x14ac:dyDescent="0.25">
      <c r="A127" s="703"/>
      <c r="B127" s="707"/>
      <c r="C127" s="682" t="s">
        <v>143</v>
      </c>
      <c r="D127" s="683"/>
      <c r="E127" s="686" t="s">
        <v>198</v>
      </c>
      <c r="F127" s="683"/>
      <c r="G127" s="729" t="s">
        <v>199</v>
      </c>
      <c r="H127" s="709" t="s">
        <v>143</v>
      </c>
      <c r="I127" s="683"/>
      <c r="J127" s="686" t="s">
        <v>198</v>
      </c>
      <c r="K127" s="683"/>
      <c r="L127" s="686" t="s">
        <v>199</v>
      </c>
      <c r="M127" s="682" t="s">
        <v>143</v>
      </c>
      <c r="N127" s="683"/>
      <c r="O127" s="686" t="s">
        <v>198</v>
      </c>
      <c r="P127" s="683"/>
      <c r="Q127" s="535" t="s">
        <v>199</v>
      </c>
      <c r="R127" s="430"/>
      <c r="S127" s="430"/>
      <c r="T127" s="430"/>
      <c r="U127" s="430"/>
      <c r="V127" s="430"/>
      <c r="W127" s="430"/>
    </row>
    <row r="128" spans="1:23" ht="16.5" customHeight="1" thickBot="1" x14ac:dyDescent="0.3">
      <c r="A128" s="703"/>
      <c r="B128" s="707"/>
      <c r="C128" s="531" t="s">
        <v>203</v>
      </c>
      <c r="D128" s="319" t="s">
        <v>204</v>
      </c>
      <c r="E128" s="319" t="s">
        <v>203</v>
      </c>
      <c r="F128" s="319" t="s">
        <v>204</v>
      </c>
      <c r="G128" s="730"/>
      <c r="H128" s="320" t="s">
        <v>203</v>
      </c>
      <c r="I128" s="319" t="s">
        <v>204</v>
      </c>
      <c r="J128" s="319" t="s">
        <v>203</v>
      </c>
      <c r="K128" s="319" t="s">
        <v>204</v>
      </c>
      <c r="L128" s="731"/>
      <c r="M128" s="531" t="s">
        <v>203</v>
      </c>
      <c r="N128" s="319" t="s">
        <v>204</v>
      </c>
      <c r="O128" s="319" t="s">
        <v>203</v>
      </c>
      <c r="P128" s="319" t="s">
        <v>204</v>
      </c>
      <c r="Q128" s="533" t="s">
        <v>203</v>
      </c>
      <c r="R128" s="430"/>
      <c r="S128" s="430"/>
      <c r="T128" s="430"/>
      <c r="U128" s="430"/>
      <c r="V128" s="430"/>
      <c r="W128" s="430"/>
    </row>
    <row r="129" spans="1:23" ht="16.5" customHeight="1" thickBot="1" x14ac:dyDescent="0.3">
      <c r="A129" s="719" t="s">
        <v>163</v>
      </c>
      <c r="B129" s="720"/>
      <c r="C129" s="412">
        <f>SUM(C130:C142)</f>
        <v>145</v>
      </c>
      <c r="D129" s="370">
        <f>SUM(D130:D142)</f>
        <v>0</v>
      </c>
      <c r="E129" s="370">
        <f>SUM(E130:E142)</f>
        <v>133</v>
      </c>
      <c r="F129" s="370">
        <f>SUM(F130:F142)</f>
        <v>99225</v>
      </c>
      <c r="G129" s="322">
        <f t="shared" ref="G129:G142" si="49">+E129/C129</f>
        <v>0.91724137931034477</v>
      </c>
      <c r="H129" s="413">
        <f>SUM(H130:H142)</f>
        <v>145</v>
      </c>
      <c r="I129" s="370">
        <f>SUM(I130:I142)</f>
        <v>0</v>
      </c>
      <c r="J129" s="370">
        <f>SUM(J130:J142)</f>
        <v>0</v>
      </c>
      <c r="K129" s="370">
        <f>SUM(K130:K142)</f>
        <v>0</v>
      </c>
      <c r="L129" s="322">
        <f t="shared" ref="L129:L142" si="50">+J129/H129</f>
        <v>0</v>
      </c>
      <c r="M129" s="412">
        <f>SUM(M130:M142)</f>
        <v>0</v>
      </c>
      <c r="N129" s="370">
        <f>SUM(N130:N142)</f>
        <v>0</v>
      </c>
      <c r="O129" s="370">
        <f>SUM(O130:O142)</f>
        <v>133</v>
      </c>
      <c r="P129" s="370">
        <f>SUM(P130:P142)</f>
        <v>99225</v>
      </c>
      <c r="Q129" s="322" t="e">
        <f t="shared" ref="Q129:Q142" si="51">+O129/M129</f>
        <v>#DIV/0!</v>
      </c>
      <c r="R129" s="430"/>
      <c r="S129" s="430"/>
      <c r="T129" s="430"/>
      <c r="U129" s="430"/>
      <c r="V129" s="430"/>
      <c r="W129" s="430"/>
    </row>
    <row r="130" spans="1:23" ht="16.5" customHeight="1" x14ac:dyDescent="0.25">
      <c r="A130" s="323">
        <v>1</v>
      </c>
      <c r="B130" s="566" t="s">
        <v>205</v>
      </c>
      <c r="C130" s="545">
        <f t="shared" ref="C130:F142" si="52">+H130+M130</f>
        <v>45</v>
      </c>
      <c r="D130" s="366">
        <f t="shared" si="52"/>
        <v>0</v>
      </c>
      <c r="E130" s="366">
        <f t="shared" si="52"/>
        <v>11</v>
      </c>
      <c r="F130" s="366">
        <f t="shared" si="52"/>
        <v>11000</v>
      </c>
      <c r="G130" s="326">
        <f t="shared" si="49"/>
        <v>0.24444444444444444</v>
      </c>
      <c r="H130" s="547">
        <v>14</v>
      </c>
      <c r="I130" s="548"/>
      <c r="J130" s="406"/>
      <c r="K130" s="406"/>
      <c r="L130" s="328">
        <f t="shared" si="50"/>
        <v>0</v>
      </c>
      <c r="M130" s="545">
        <f t="shared" ref="M130:M137" si="53">M110-O110</f>
        <v>31</v>
      </c>
      <c r="N130" s="548"/>
      <c r="O130" s="406">
        <v>11</v>
      </c>
      <c r="P130" s="406">
        <v>11000</v>
      </c>
      <c r="Q130" s="326">
        <f t="shared" si="51"/>
        <v>0.35483870967741937</v>
      </c>
      <c r="R130" s="430"/>
      <c r="S130" s="430"/>
      <c r="T130" s="430"/>
      <c r="U130" s="430"/>
      <c r="V130" s="430"/>
      <c r="W130" s="430"/>
    </row>
    <row r="131" spans="1:23" ht="16.5" customHeight="1" x14ac:dyDescent="0.25">
      <c r="A131" s="329">
        <v>2</v>
      </c>
      <c r="B131" s="567" t="s">
        <v>147</v>
      </c>
      <c r="C131" s="549">
        <f t="shared" si="52"/>
        <v>-8</v>
      </c>
      <c r="D131" s="367">
        <f t="shared" si="52"/>
        <v>0</v>
      </c>
      <c r="E131" s="367">
        <f t="shared" si="52"/>
        <v>0</v>
      </c>
      <c r="F131" s="367">
        <f t="shared" si="52"/>
        <v>8150</v>
      </c>
      <c r="G131" s="331">
        <f t="shared" si="49"/>
        <v>0</v>
      </c>
      <c r="H131" s="551">
        <v>8</v>
      </c>
      <c r="I131" s="552"/>
      <c r="J131" s="553"/>
      <c r="K131" s="553"/>
      <c r="L131" s="333">
        <f t="shared" si="50"/>
        <v>0</v>
      </c>
      <c r="M131" s="549">
        <f t="shared" si="53"/>
        <v>-16</v>
      </c>
      <c r="N131" s="552"/>
      <c r="O131" s="553"/>
      <c r="P131" s="553">
        <v>8150</v>
      </c>
      <c r="Q131" s="334">
        <f t="shared" si="51"/>
        <v>0</v>
      </c>
      <c r="R131" s="430"/>
      <c r="S131" s="430"/>
      <c r="T131" s="430"/>
      <c r="U131" s="430"/>
      <c r="V131" s="430"/>
      <c r="W131" s="430"/>
    </row>
    <row r="132" spans="1:23" ht="16.5" customHeight="1" x14ac:dyDescent="0.25">
      <c r="A132" s="329">
        <v>3</v>
      </c>
      <c r="B132" s="567" t="s">
        <v>148</v>
      </c>
      <c r="C132" s="554">
        <f t="shared" si="52"/>
        <v>12</v>
      </c>
      <c r="D132" s="368">
        <f t="shared" si="52"/>
        <v>0</v>
      </c>
      <c r="E132" s="368">
        <f t="shared" si="52"/>
        <v>0</v>
      </c>
      <c r="F132" s="368">
        <f t="shared" si="52"/>
        <v>0</v>
      </c>
      <c r="G132" s="337">
        <f t="shared" si="49"/>
        <v>0</v>
      </c>
      <c r="H132" s="555">
        <v>4</v>
      </c>
      <c r="I132" s="556"/>
      <c r="J132" s="557"/>
      <c r="K132" s="557"/>
      <c r="L132" s="333">
        <f t="shared" si="50"/>
        <v>0</v>
      </c>
      <c r="M132" s="554">
        <f t="shared" si="53"/>
        <v>8</v>
      </c>
      <c r="N132" s="556"/>
      <c r="O132" s="557"/>
      <c r="P132" s="557"/>
      <c r="Q132" s="334">
        <f t="shared" si="51"/>
        <v>0</v>
      </c>
      <c r="R132" s="430"/>
      <c r="S132" s="430"/>
      <c r="T132" s="430"/>
      <c r="U132" s="430"/>
      <c r="V132" s="430"/>
      <c r="W132" s="430"/>
    </row>
    <row r="133" spans="1:23" ht="16.5" customHeight="1" x14ac:dyDescent="0.25">
      <c r="A133" s="329">
        <v>4</v>
      </c>
      <c r="B133" s="567" t="s">
        <v>206</v>
      </c>
      <c r="C133" s="554">
        <f t="shared" si="52"/>
        <v>-32</v>
      </c>
      <c r="D133" s="368">
        <f t="shared" si="52"/>
        <v>0</v>
      </c>
      <c r="E133" s="368">
        <f t="shared" si="52"/>
        <v>0</v>
      </c>
      <c r="F133" s="368">
        <f t="shared" si="52"/>
        <v>0</v>
      </c>
      <c r="G133" s="337">
        <f t="shared" si="49"/>
        <v>0</v>
      </c>
      <c r="H133" s="555">
        <v>12</v>
      </c>
      <c r="I133" s="556"/>
      <c r="J133" s="557"/>
      <c r="K133" s="557"/>
      <c r="L133" s="333">
        <f t="shared" si="50"/>
        <v>0</v>
      </c>
      <c r="M133" s="554">
        <f t="shared" si="53"/>
        <v>-44</v>
      </c>
      <c r="N133" s="556"/>
      <c r="O133" s="557"/>
      <c r="P133" s="557"/>
      <c r="Q133" s="334">
        <f t="shared" si="51"/>
        <v>0</v>
      </c>
      <c r="R133" s="430"/>
      <c r="S133" s="430"/>
      <c r="T133" s="430"/>
      <c r="U133" s="430"/>
      <c r="V133" s="430"/>
      <c r="W133" s="430"/>
    </row>
    <row r="134" spans="1:23" ht="16.5" customHeight="1" x14ac:dyDescent="0.25">
      <c r="A134" s="329">
        <v>5</v>
      </c>
      <c r="B134" s="567" t="s">
        <v>174</v>
      </c>
      <c r="C134" s="554">
        <f t="shared" si="52"/>
        <v>15</v>
      </c>
      <c r="D134" s="368">
        <f t="shared" si="52"/>
        <v>0</v>
      </c>
      <c r="E134" s="368">
        <f t="shared" si="52"/>
        <v>2</v>
      </c>
      <c r="F134" s="368">
        <f t="shared" si="52"/>
        <v>5500</v>
      </c>
      <c r="G134" s="337">
        <f t="shared" si="49"/>
        <v>0.13333333333333333</v>
      </c>
      <c r="H134" s="555">
        <v>8</v>
      </c>
      <c r="I134" s="556"/>
      <c r="J134" s="557"/>
      <c r="K134" s="557"/>
      <c r="L134" s="333">
        <f t="shared" si="50"/>
        <v>0</v>
      </c>
      <c r="M134" s="554">
        <f t="shared" si="53"/>
        <v>7</v>
      </c>
      <c r="N134" s="556"/>
      <c r="O134" s="557">
        <v>2</v>
      </c>
      <c r="P134" s="558">
        <v>5500</v>
      </c>
      <c r="Q134" s="334">
        <f t="shared" si="51"/>
        <v>0.2857142857142857</v>
      </c>
      <c r="R134" s="430"/>
      <c r="S134" s="430"/>
      <c r="T134" s="430"/>
      <c r="U134" s="430"/>
      <c r="V134" s="430"/>
      <c r="W134" s="430"/>
    </row>
    <row r="135" spans="1:23" ht="16.5" customHeight="1" x14ac:dyDescent="0.25">
      <c r="A135" s="329">
        <v>6</v>
      </c>
      <c r="B135" s="567" t="s">
        <v>151</v>
      </c>
      <c r="C135" s="554">
        <f t="shared" si="52"/>
        <v>14</v>
      </c>
      <c r="D135" s="368">
        <f t="shared" si="52"/>
        <v>0</v>
      </c>
      <c r="E135" s="368">
        <f t="shared" si="52"/>
        <v>0</v>
      </c>
      <c r="F135" s="368">
        <f t="shared" si="52"/>
        <v>0</v>
      </c>
      <c r="G135" s="337">
        <f t="shared" si="49"/>
        <v>0</v>
      </c>
      <c r="H135" s="555">
        <v>6</v>
      </c>
      <c r="I135" s="556"/>
      <c r="J135" s="557"/>
      <c r="K135" s="557"/>
      <c r="L135" s="333">
        <f t="shared" si="50"/>
        <v>0</v>
      </c>
      <c r="M135" s="554">
        <f t="shared" si="53"/>
        <v>8</v>
      </c>
      <c r="N135" s="556"/>
      <c r="O135" s="558"/>
      <c r="P135" s="558"/>
      <c r="Q135" s="334">
        <f t="shared" si="51"/>
        <v>0</v>
      </c>
      <c r="R135" s="430"/>
      <c r="S135" s="430"/>
      <c r="T135" s="430"/>
      <c r="U135" s="430"/>
      <c r="V135" s="430"/>
      <c r="W135" s="430"/>
    </row>
    <row r="136" spans="1:23" ht="16.5" customHeight="1" x14ac:dyDescent="0.25">
      <c r="A136" s="329">
        <v>7</v>
      </c>
      <c r="B136" s="567" t="s">
        <v>207</v>
      </c>
      <c r="C136" s="554">
        <f t="shared" si="52"/>
        <v>0</v>
      </c>
      <c r="D136" s="368">
        <f t="shared" si="52"/>
        <v>0</v>
      </c>
      <c r="E136" s="368">
        <f t="shared" si="52"/>
        <v>21</v>
      </c>
      <c r="F136" s="368">
        <f t="shared" si="52"/>
        <v>10225</v>
      </c>
      <c r="G136" s="337" t="e">
        <f t="shared" si="49"/>
        <v>#DIV/0!</v>
      </c>
      <c r="H136" s="555">
        <v>22</v>
      </c>
      <c r="I136" s="556"/>
      <c r="J136" s="557"/>
      <c r="K136" s="557"/>
      <c r="L136" s="333">
        <f t="shared" si="50"/>
        <v>0</v>
      </c>
      <c r="M136" s="554">
        <f t="shared" si="53"/>
        <v>-22</v>
      </c>
      <c r="N136" s="556"/>
      <c r="O136" s="558">
        <v>21</v>
      </c>
      <c r="P136" s="558">
        <v>10225</v>
      </c>
      <c r="Q136" s="334">
        <f t="shared" si="51"/>
        <v>-0.95454545454545459</v>
      </c>
      <c r="R136" s="430"/>
      <c r="S136" s="430"/>
      <c r="T136" s="430"/>
      <c r="U136" s="430"/>
      <c r="V136" s="430"/>
      <c r="W136" s="430"/>
    </row>
    <row r="137" spans="1:23" ht="16.5" customHeight="1" x14ac:dyDescent="0.25">
      <c r="A137" s="329">
        <v>8</v>
      </c>
      <c r="B137" s="567" t="s">
        <v>153</v>
      </c>
      <c r="C137" s="554">
        <f t="shared" si="52"/>
        <v>17</v>
      </c>
      <c r="D137" s="368">
        <f t="shared" si="52"/>
        <v>0</v>
      </c>
      <c r="E137" s="368">
        <f t="shared" si="52"/>
        <v>47</v>
      </c>
      <c r="F137" s="368">
        <f t="shared" si="52"/>
        <v>15550</v>
      </c>
      <c r="G137" s="337">
        <f t="shared" si="49"/>
        <v>2.7647058823529411</v>
      </c>
      <c r="H137" s="555">
        <v>13</v>
      </c>
      <c r="I137" s="559"/>
      <c r="J137" s="407"/>
      <c r="K137" s="407"/>
      <c r="L137" s="333">
        <f t="shared" si="50"/>
        <v>0</v>
      </c>
      <c r="M137" s="554">
        <f t="shared" si="53"/>
        <v>4</v>
      </c>
      <c r="N137" s="559"/>
      <c r="O137" s="558">
        <v>47</v>
      </c>
      <c r="P137" s="558">
        <v>15550</v>
      </c>
      <c r="Q137" s="334">
        <f t="shared" si="51"/>
        <v>11.75</v>
      </c>
      <c r="R137" s="430"/>
      <c r="S137" s="430"/>
      <c r="T137" s="430"/>
      <c r="U137" s="430"/>
      <c r="V137" s="430"/>
      <c r="W137" s="430"/>
    </row>
    <row r="138" spans="1:23" ht="16.5" customHeight="1" x14ac:dyDescent="0.25">
      <c r="A138" s="329">
        <v>9</v>
      </c>
      <c r="B138" s="567" t="s">
        <v>154</v>
      </c>
      <c r="C138" s="554">
        <f t="shared" si="52"/>
        <v>11</v>
      </c>
      <c r="D138" s="368">
        <f t="shared" si="52"/>
        <v>0</v>
      </c>
      <c r="E138" s="368">
        <f t="shared" si="52"/>
        <v>18</v>
      </c>
      <c r="F138" s="368">
        <f t="shared" si="52"/>
        <v>7400</v>
      </c>
      <c r="G138" s="337">
        <f t="shared" si="49"/>
        <v>1.6363636363636365</v>
      </c>
      <c r="H138" s="555">
        <v>11</v>
      </c>
      <c r="I138" s="556"/>
      <c r="J138" s="557"/>
      <c r="K138" s="557"/>
      <c r="L138" s="333">
        <f t="shared" si="50"/>
        <v>0</v>
      </c>
      <c r="M138" s="554">
        <v>0</v>
      </c>
      <c r="N138" s="556"/>
      <c r="O138" s="558">
        <v>18</v>
      </c>
      <c r="P138" s="558">
        <v>7400</v>
      </c>
      <c r="Q138" s="334" t="e">
        <f t="shared" si="51"/>
        <v>#DIV/0!</v>
      </c>
      <c r="R138" s="430"/>
      <c r="S138" s="430"/>
      <c r="T138" s="430"/>
      <c r="U138" s="430"/>
      <c r="V138" s="430"/>
      <c r="W138" s="430"/>
    </row>
    <row r="139" spans="1:23" ht="16.5" customHeight="1" x14ac:dyDescent="0.25">
      <c r="A139" s="329">
        <v>10</v>
      </c>
      <c r="B139" s="567" t="s">
        <v>15</v>
      </c>
      <c r="C139" s="554">
        <f t="shared" si="52"/>
        <v>15</v>
      </c>
      <c r="D139" s="368">
        <f t="shared" si="52"/>
        <v>0</v>
      </c>
      <c r="E139" s="368">
        <f t="shared" si="52"/>
        <v>12</v>
      </c>
      <c r="F139" s="368">
        <f t="shared" si="52"/>
        <v>11400</v>
      </c>
      <c r="G139" s="337">
        <f t="shared" si="49"/>
        <v>0.8</v>
      </c>
      <c r="H139" s="555">
        <v>7</v>
      </c>
      <c r="I139" s="559"/>
      <c r="J139" s="407"/>
      <c r="K139" s="407"/>
      <c r="L139" s="333">
        <f t="shared" si="50"/>
        <v>0</v>
      </c>
      <c r="M139" s="554">
        <f>M119-O119</f>
        <v>8</v>
      </c>
      <c r="N139" s="559"/>
      <c r="O139" s="557">
        <v>12</v>
      </c>
      <c r="P139" s="557">
        <v>11400</v>
      </c>
      <c r="Q139" s="334">
        <f t="shared" si="51"/>
        <v>1.5</v>
      </c>
      <c r="R139" s="430"/>
      <c r="S139" s="430"/>
      <c r="T139" s="430"/>
      <c r="U139" s="430"/>
      <c r="V139" s="430"/>
      <c r="W139" s="430"/>
    </row>
    <row r="140" spans="1:23" ht="16.5" customHeight="1" x14ac:dyDescent="0.25">
      <c r="A140" s="329">
        <v>11</v>
      </c>
      <c r="B140" s="567" t="s">
        <v>155</v>
      </c>
      <c r="C140" s="554">
        <f t="shared" si="52"/>
        <v>18</v>
      </c>
      <c r="D140" s="368">
        <f t="shared" si="52"/>
        <v>0</v>
      </c>
      <c r="E140" s="368">
        <f t="shared" si="52"/>
        <v>0</v>
      </c>
      <c r="F140" s="368">
        <f t="shared" si="52"/>
        <v>0</v>
      </c>
      <c r="G140" s="337">
        <f t="shared" si="49"/>
        <v>0</v>
      </c>
      <c r="H140" s="555">
        <v>17</v>
      </c>
      <c r="I140" s="556"/>
      <c r="J140" s="557"/>
      <c r="K140" s="557"/>
      <c r="L140" s="333">
        <f t="shared" si="50"/>
        <v>0</v>
      </c>
      <c r="M140" s="554">
        <f>M120-O120</f>
        <v>1</v>
      </c>
      <c r="N140" s="556"/>
      <c r="O140" s="557"/>
      <c r="P140" s="557"/>
      <c r="Q140" s="334">
        <f t="shared" si="51"/>
        <v>0</v>
      </c>
      <c r="R140" s="430"/>
      <c r="S140" s="430"/>
      <c r="T140" s="430"/>
      <c r="U140" s="430"/>
      <c r="V140" s="430"/>
      <c r="W140" s="430"/>
    </row>
    <row r="141" spans="1:23" ht="16.5" customHeight="1" x14ac:dyDescent="0.25">
      <c r="A141" s="329">
        <v>12</v>
      </c>
      <c r="B141" s="567" t="s">
        <v>17</v>
      </c>
      <c r="C141" s="549">
        <f t="shared" si="52"/>
        <v>19</v>
      </c>
      <c r="D141" s="367">
        <f t="shared" si="52"/>
        <v>0</v>
      </c>
      <c r="E141" s="367">
        <f t="shared" si="52"/>
        <v>10</v>
      </c>
      <c r="F141" s="367">
        <f t="shared" si="52"/>
        <v>25750</v>
      </c>
      <c r="G141" s="331">
        <f t="shared" si="49"/>
        <v>0.52631578947368418</v>
      </c>
      <c r="H141" s="551">
        <v>9</v>
      </c>
      <c r="I141" s="552"/>
      <c r="J141" s="553"/>
      <c r="K141" s="553"/>
      <c r="L141" s="333">
        <f t="shared" si="50"/>
        <v>0</v>
      </c>
      <c r="M141" s="549">
        <f>M121-O121</f>
        <v>10</v>
      </c>
      <c r="N141" s="552"/>
      <c r="O141" s="568">
        <v>10</v>
      </c>
      <c r="P141" s="558">
        <v>25750</v>
      </c>
      <c r="Q141" s="334">
        <f t="shared" si="51"/>
        <v>1</v>
      </c>
      <c r="R141" s="430"/>
      <c r="S141" s="430"/>
      <c r="T141" s="430"/>
      <c r="U141" s="430"/>
      <c r="V141" s="430"/>
      <c r="W141" s="430"/>
    </row>
    <row r="142" spans="1:23" ht="16.5" customHeight="1" thickBot="1" x14ac:dyDescent="0.3">
      <c r="A142" s="405">
        <v>13</v>
      </c>
      <c r="B142" s="569" t="s">
        <v>18</v>
      </c>
      <c r="C142" s="562">
        <f t="shared" si="52"/>
        <v>19</v>
      </c>
      <c r="D142" s="369">
        <f t="shared" si="52"/>
        <v>0</v>
      </c>
      <c r="E142" s="369">
        <f t="shared" si="52"/>
        <v>12</v>
      </c>
      <c r="F142" s="369">
        <f t="shared" si="52"/>
        <v>4250</v>
      </c>
      <c r="G142" s="341">
        <f t="shared" si="49"/>
        <v>0.63157894736842102</v>
      </c>
      <c r="H142" s="563">
        <v>14</v>
      </c>
      <c r="I142" s="564"/>
      <c r="J142" s="565"/>
      <c r="K142" s="565"/>
      <c r="L142" s="343">
        <f t="shared" si="50"/>
        <v>0</v>
      </c>
      <c r="M142" s="562">
        <v>5</v>
      </c>
      <c r="N142" s="564"/>
      <c r="O142" s="570">
        <v>12</v>
      </c>
      <c r="P142" s="570">
        <v>4250</v>
      </c>
      <c r="Q142" s="344">
        <f t="shared" si="51"/>
        <v>2.4</v>
      </c>
      <c r="R142" s="430"/>
      <c r="S142" s="430"/>
      <c r="T142" s="430"/>
      <c r="U142" s="430"/>
      <c r="V142" s="430"/>
      <c r="W142" s="430"/>
    </row>
    <row r="143" spans="1:23" ht="16.5" customHeight="1" x14ac:dyDescent="0.25">
      <c r="R143" s="430"/>
      <c r="S143" s="430"/>
      <c r="T143" s="430"/>
      <c r="U143" s="430"/>
      <c r="V143" s="430"/>
      <c r="W143" s="430"/>
    </row>
    <row r="144" spans="1:23" ht="16.5" customHeight="1" thickBot="1" x14ac:dyDescent="0.3">
      <c r="B144" s="484">
        <v>45200</v>
      </c>
      <c r="R144" s="430"/>
      <c r="S144" s="430"/>
      <c r="T144" s="430"/>
      <c r="U144" s="430"/>
      <c r="V144" s="430"/>
      <c r="W144" s="430"/>
    </row>
    <row r="145" spans="1:23" ht="16.5" customHeight="1" thickBot="1" x14ac:dyDescent="0.3">
      <c r="A145" s="701" t="s">
        <v>0</v>
      </c>
      <c r="B145" s="705" t="s">
        <v>211</v>
      </c>
      <c r="C145" s="673" t="s">
        <v>212</v>
      </c>
      <c r="D145" s="721"/>
      <c r="E145" s="721"/>
      <c r="F145" s="721"/>
      <c r="G145" s="674"/>
      <c r="H145" s="723" t="s">
        <v>128</v>
      </c>
      <c r="I145" s="724"/>
      <c r="J145" s="724"/>
      <c r="K145" s="724"/>
      <c r="L145" s="724"/>
      <c r="M145" s="724"/>
      <c r="N145" s="724"/>
      <c r="O145" s="724"/>
      <c r="P145" s="724"/>
      <c r="Q145" s="725"/>
      <c r="R145" s="430"/>
      <c r="S145" s="430"/>
      <c r="T145" s="430"/>
      <c r="U145" s="430"/>
      <c r="V145" s="430"/>
      <c r="W145" s="430"/>
    </row>
    <row r="146" spans="1:23" ht="16.5" customHeight="1" x14ac:dyDescent="0.25">
      <c r="A146" s="702"/>
      <c r="B146" s="706"/>
      <c r="C146" s="677"/>
      <c r="D146" s="722"/>
      <c r="E146" s="722"/>
      <c r="F146" s="722"/>
      <c r="G146" s="678"/>
      <c r="H146" s="726" t="s">
        <v>213</v>
      </c>
      <c r="I146" s="726"/>
      <c r="J146" s="726"/>
      <c r="K146" s="726"/>
      <c r="L146" s="726"/>
      <c r="M146" s="727" t="s">
        <v>214</v>
      </c>
      <c r="N146" s="726"/>
      <c r="O146" s="726"/>
      <c r="P146" s="726"/>
      <c r="Q146" s="728"/>
      <c r="R146" s="430"/>
      <c r="S146" s="430"/>
      <c r="T146" s="430"/>
      <c r="U146" s="430"/>
      <c r="V146" s="430"/>
      <c r="W146" s="430"/>
    </row>
    <row r="147" spans="1:23" ht="16.5" customHeight="1" x14ac:dyDescent="0.25">
      <c r="A147" s="703"/>
      <c r="B147" s="707"/>
      <c r="C147" s="682" t="s">
        <v>143</v>
      </c>
      <c r="D147" s="683"/>
      <c r="E147" s="686" t="s">
        <v>198</v>
      </c>
      <c r="F147" s="683"/>
      <c r="G147" s="729" t="s">
        <v>199</v>
      </c>
      <c r="H147" s="709" t="s">
        <v>143</v>
      </c>
      <c r="I147" s="683"/>
      <c r="J147" s="686" t="s">
        <v>198</v>
      </c>
      <c r="K147" s="683"/>
      <c r="L147" s="686" t="s">
        <v>199</v>
      </c>
      <c r="M147" s="682" t="s">
        <v>143</v>
      </c>
      <c r="N147" s="683"/>
      <c r="O147" s="686" t="s">
        <v>198</v>
      </c>
      <c r="P147" s="683"/>
      <c r="Q147" s="535" t="s">
        <v>199</v>
      </c>
      <c r="R147" s="430"/>
      <c r="S147" s="430"/>
      <c r="T147" s="430"/>
      <c r="U147" s="430"/>
      <c r="V147" s="430"/>
      <c r="W147" s="430"/>
    </row>
    <row r="148" spans="1:23" ht="16.5" customHeight="1" thickBot="1" x14ac:dyDescent="0.3">
      <c r="A148" s="703"/>
      <c r="B148" s="707"/>
      <c r="C148" s="531" t="s">
        <v>203</v>
      </c>
      <c r="D148" s="319" t="s">
        <v>204</v>
      </c>
      <c r="E148" s="319" t="s">
        <v>203</v>
      </c>
      <c r="F148" s="319" t="s">
        <v>204</v>
      </c>
      <c r="G148" s="730"/>
      <c r="H148" s="320" t="s">
        <v>203</v>
      </c>
      <c r="I148" s="319" t="s">
        <v>204</v>
      </c>
      <c r="J148" s="319" t="s">
        <v>203</v>
      </c>
      <c r="K148" s="319" t="s">
        <v>204</v>
      </c>
      <c r="L148" s="731"/>
      <c r="M148" s="531" t="s">
        <v>203</v>
      </c>
      <c r="N148" s="319" t="s">
        <v>204</v>
      </c>
      <c r="O148" s="319" t="s">
        <v>203</v>
      </c>
      <c r="P148" s="319" t="s">
        <v>204</v>
      </c>
      <c r="Q148" s="533" t="s">
        <v>203</v>
      </c>
      <c r="R148" s="430"/>
      <c r="S148" s="430"/>
      <c r="T148" s="430"/>
      <c r="U148" s="430"/>
      <c r="V148" s="430"/>
      <c r="W148" s="430"/>
    </row>
    <row r="149" spans="1:23" ht="16.5" customHeight="1" thickBot="1" x14ac:dyDescent="0.3">
      <c r="A149" s="719" t="s">
        <v>163</v>
      </c>
      <c r="B149" s="720"/>
      <c r="C149" s="412">
        <f>SUM(C150:C162)</f>
        <v>1</v>
      </c>
      <c r="D149" s="370">
        <f>SUM(D150:D162)</f>
        <v>0</v>
      </c>
      <c r="E149" s="370">
        <f>SUM(E150:E162)</f>
        <v>95</v>
      </c>
      <c r="F149" s="370">
        <f>SUM(F150:F162)</f>
        <v>70661</v>
      </c>
      <c r="G149" s="322">
        <f t="shared" ref="G149:G162" si="54">+E149/C149</f>
        <v>95</v>
      </c>
      <c r="H149" s="413">
        <f>SUM(H150:H162)</f>
        <v>145</v>
      </c>
      <c r="I149" s="370">
        <f>SUM(I150:I162)</f>
        <v>0</v>
      </c>
      <c r="J149" s="370">
        <f>SUM(J150:J162)</f>
        <v>0</v>
      </c>
      <c r="K149" s="370">
        <f>SUM(K150:K162)</f>
        <v>0</v>
      </c>
      <c r="L149" s="322">
        <f t="shared" ref="L149:L162" si="55">+J149/H149</f>
        <v>0</v>
      </c>
      <c r="M149" s="412">
        <f>SUM(M150:M162)</f>
        <v>-144</v>
      </c>
      <c r="N149" s="370">
        <f>SUM(N150:N162)</f>
        <v>0</v>
      </c>
      <c r="O149" s="370">
        <f>SUM(O150:O162)</f>
        <v>95</v>
      </c>
      <c r="P149" s="370">
        <f>SUM(P150:P162)</f>
        <v>70661</v>
      </c>
      <c r="Q149" s="322">
        <f t="shared" ref="Q149:Q162" si="56">+O149/M149</f>
        <v>-0.65972222222222221</v>
      </c>
      <c r="R149" s="430"/>
      <c r="S149" s="430"/>
      <c r="T149" s="430"/>
      <c r="U149" s="430"/>
      <c r="V149" s="430"/>
      <c r="W149" s="430"/>
    </row>
    <row r="150" spans="1:23" ht="16.5" customHeight="1" x14ac:dyDescent="0.25">
      <c r="A150" s="323">
        <v>1</v>
      </c>
      <c r="B150" s="324" t="s">
        <v>205</v>
      </c>
      <c r="C150" s="371">
        <f t="shared" ref="C150:C162" si="57">+H150+M150</f>
        <v>-2</v>
      </c>
      <c r="D150" s="366">
        <f t="shared" ref="D150:D162" si="58">+I150+N150</f>
        <v>0</v>
      </c>
      <c r="E150" s="366">
        <f t="shared" ref="E150:E162" si="59">+J150+O150</f>
        <v>0</v>
      </c>
      <c r="F150" s="366">
        <f t="shared" ref="F150:F162" si="60">+K150+P150</f>
        <v>0</v>
      </c>
      <c r="G150" s="326">
        <f t="shared" si="54"/>
        <v>0</v>
      </c>
      <c r="H150" s="417">
        <v>14</v>
      </c>
      <c r="I150" s="406"/>
      <c r="J150" s="406"/>
      <c r="K150" s="406"/>
      <c r="L150" s="328">
        <f t="shared" si="55"/>
        <v>0</v>
      </c>
      <c r="M150" s="371">
        <f t="shared" ref="M150:M157" si="61">M131-O131</f>
        <v>-16</v>
      </c>
      <c r="N150" s="406"/>
      <c r="O150" s="406"/>
      <c r="P150" s="406"/>
      <c r="Q150" s="326">
        <f t="shared" si="56"/>
        <v>0</v>
      </c>
      <c r="R150" s="430"/>
      <c r="S150" s="430"/>
      <c r="T150" s="430"/>
      <c r="U150" s="430"/>
      <c r="V150" s="430"/>
      <c r="W150" s="430"/>
    </row>
    <row r="151" spans="1:23" ht="16.5" customHeight="1" x14ac:dyDescent="0.25">
      <c r="A151" s="329">
        <v>2</v>
      </c>
      <c r="B151" s="303" t="s">
        <v>147</v>
      </c>
      <c r="C151" s="414">
        <f t="shared" si="57"/>
        <v>16</v>
      </c>
      <c r="D151" s="367">
        <f t="shared" si="58"/>
        <v>0</v>
      </c>
      <c r="E151" s="367">
        <f t="shared" si="59"/>
        <v>0</v>
      </c>
      <c r="F151" s="367">
        <f t="shared" si="60"/>
        <v>0</v>
      </c>
      <c r="G151" s="331">
        <f t="shared" si="54"/>
        <v>0</v>
      </c>
      <c r="H151" s="418">
        <v>8</v>
      </c>
      <c r="I151" s="409"/>
      <c r="J151" s="409"/>
      <c r="K151" s="409"/>
      <c r="L151" s="333">
        <f t="shared" si="55"/>
        <v>0</v>
      </c>
      <c r="M151" s="414">
        <f t="shared" si="61"/>
        <v>8</v>
      </c>
      <c r="N151" s="409"/>
      <c r="O151" s="553"/>
      <c r="P151" s="553"/>
      <c r="Q151" s="334">
        <f t="shared" si="56"/>
        <v>0</v>
      </c>
      <c r="R151" s="430"/>
      <c r="S151" s="430"/>
      <c r="T151" s="430"/>
      <c r="U151" s="430"/>
      <c r="V151" s="430"/>
      <c r="W151" s="430"/>
    </row>
    <row r="152" spans="1:23" ht="16.5" customHeight="1" x14ac:dyDescent="0.25">
      <c r="A152" s="329">
        <v>3</v>
      </c>
      <c r="B152" s="303" t="s">
        <v>148</v>
      </c>
      <c r="C152" s="415">
        <f t="shared" si="57"/>
        <v>-40</v>
      </c>
      <c r="D152" s="368">
        <f t="shared" si="58"/>
        <v>0</v>
      </c>
      <c r="E152" s="368">
        <f t="shared" si="59"/>
        <v>0</v>
      </c>
      <c r="F152" s="368">
        <f t="shared" si="60"/>
        <v>0</v>
      </c>
      <c r="G152" s="337">
        <f t="shared" si="54"/>
        <v>0</v>
      </c>
      <c r="H152" s="419">
        <v>4</v>
      </c>
      <c r="I152" s="410"/>
      <c r="J152" s="410"/>
      <c r="K152" s="410"/>
      <c r="L152" s="333">
        <f t="shared" si="55"/>
        <v>0</v>
      </c>
      <c r="M152" s="415">
        <f t="shared" si="61"/>
        <v>-44</v>
      </c>
      <c r="N152" s="410"/>
      <c r="O152" s="557"/>
      <c r="P152" s="557"/>
      <c r="Q152" s="334">
        <f t="shared" si="56"/>
        <v>0</v>
      </c>
      <c r="R152" s="430"/>
      <c r="S152" s="430"/>
      <c r="T152" s="430"/>
      <c r="U152" s="430"/>
      <c r="V152" s="430"/>
      <c r="W152" s="430"/>
    </row>
    <row r="153" spans="1:23" ht="16.5" customHeight="1" x14ac:dyDescent="0.25">
      <c r="A153" s="329">
        <v>4</v>
      </c>
      <c r="B153" s="303" t="s">
        <v>206</v>
      </c>
      <c r="C153" s="415">
        <f t="shared" si="57"/>
        <v>17</v>
      </c>
      <c r="D153" s="368">
        <f t="shared" si="58"/>
        <v>0</v>
      </c>
      <c r="E153" s="368">
        <f t="shared" si="59"/>
        <v>46</v>
      </c>
      <c r="F153" s="368">
        <f t="shared" si="60"/>
        <v>18511</v>
      </c>
      <c r="G153" s="337">
        <f t="shared" si="54"/>
        <v>2.7058823529411766</v>
      </c>
      <c r="H153" s="419">
        <v>12</v>
      </c>
      <c r="I153" s="410"/>
      <c r="J153" s="410"/>
      <c r="K153" s="410"/>
      <c r="L153" s="333">
        <f t="shared" si="55"/>
        <v>0</v>
      </c>
      <c r="M153" s="415">
        <f t="shared" si="61"/>
        <v>5</v>
      </c>
      <c r="N153" s="410"/>
      <c r="O153" s="557">
        <v>46</v>
      </c>
      <c r="P153" s="557">
        <v>18511</v>
      </c>
      <c r="Q153" s="334">
        <f t="shared" si="56"/>
        <v>9.1999999999999993</v>
      </c>
      <c r="R153" s="430"/>
      <c r="S153" s="430"/>
      <c r="T153" s="430"/>
      <c r="U153" s="430"/>
      <c r="V153" s="430"/>
      <c r="W153" s="430"/>
    </row>
    <row r="154" spans="1:23" ht="16.5" customHeight="1" x14ac:dyDescent="0.25">
      <c r="A154" s="329">
        <v>5</v>
      </c>
      <c r="B154" s="303" t="s">
        <v>174</v>
      </c>
      <c r="C154" s="415">
        <f t="shared" si="57"/>
        <v>16</v>
      </c>
      <c r="D154" s="368">
        <f t="shared" si="58"/>
        <v>0</v>
      </c>
      <c r="E154" s="368">
        <f t="shared" si="59"/>
        <v>4</v>
      </c>
      <c r="F154" s="368">
        <f t="shared" si="60"/>
        <v>12000</v>
      </c>
      <c r="G154" s="337">
        <f t="shared" si="54"/>
        <v>0.25</v>
      </c>
      <c r="H154" s="419">
        <v>8</v>
      </c>
      <c r="I154" s="410"/>
      <c r="J154" s="410"/>
      <c r="K154" s="410"/>
      <c r="L154" s="333">
        <f t="shared" si="55"/>
        <v>0</v>
      </c>
      <c r="M154" s="415">
        <f t="shared" si="61"/>
        <v>8</v>
      </c>
      <c r="N154" s="410"/>
      <c r="O154" s="557">
        <v>4</v>
      </c>
      <c r="P154" s="558">
        <v>12000</v>
      </c>
      <c r="Q154" s="334">
        <f t="shared" si="56"/>
        <v>0.5</v>
      </c>
      <c r="R154" s="430"/>
      <c r="S154" s="430"/>
      <c r="T154" s="430"/>
      <c r="U154" s="430"/>
      <c r="V154" s="430"/>
      <c r="W154" s="430"/>
    </row>
    <row r="155" spans="1:23" ht="16.5" customHeight="1" x14ac:dyDescent="0.25">
      <c r="A155" s="329">
        <v>6</v>
      </c>
      <c r="B155" s="303" t="s">
        <v>151</v>
      </c>
      <c r="C155" s="415">
        <f t="shared" si="57"/>
        <v>-37</v>
      </c>
      <c r="D155" s="368">
        <f t="shared" si="58"/>
        <v>0</v>
      </c>
      <c r="E155" s="368">
        <f t="shared" si="59"/>
        <v>0</v>
      </c>
      <c r="F155" s="368">
        <f t="shared" si="60"/>
        <v>0</v>
      </c>
      <c r="G155" s="337">
        <f t="shared" si="54"/>
        <v>0</v>
      </c>
      <c r="H155" s="419">
        <v>6</v>
      </c>
      <c r="I155" s="410"/>
      <c r="J155" s="410"/>
      <c r="K155" s="410"/>
      <c r="L155" s="333">
        <f t="shared" si="55"/>
        <v>0</v>
      </c>
      <c r="M155" s="415">
        <f t="shared" si="61"/>
        <v>-43</v>
      </c>
      <c r="N155" s="410"/>
      <c r="O155" s="558"/>
      <c r="P155" s="558"/>
      <c r="Q155" s="334">
        <f t="shared" si="56"/>
        <v>0</v>
      </c>
      <c r="R155" s="430"/>
      <c r="S155" s="430"/>
      <c r="T155" s="430"/>
      <c r="U155" s="430"/>
      <c r="V155" s="430"/>
      <c r="W155" s="430"/>
    </row>
    <row r="156" spans="1:23" ht="16.5" customHeight="1" x14ac:dyDescent="0.25">
      <c r="A156" s="329">
        <v>7</v>
      </c>
      <c r="B156" s="303" t="s">
        <v>207</v>
      </c>
      <c r="C156" s="415">
        <f t="shared" si="57"/>
        <v>-21</v>
      </c>
      <c r="D156" s="368">
        <f t="shared" si="58"/>
        <v>0</v>
      </c>
      <c r="E156" s="368">
        <f t="shared" si="59"/>
        <v>29</v>
      </c>
      <c r="F156" s="368">
        <f t="shared" si="60"/>
        <v>14500</v>
      </c>
      <c r="G156" s="337">
        <f t="shared" si="54"/>
        <v>-1.3809523809523809</v>
      </c>
      <c r="H156" s="419">
        <v>22</v>
      </c>
      <c r="I156" s="410"/>
      <c r="J156" s="410"/>
      <c r="K156" s="410"/>
      <c r="L156" s="333">
        <f t="shared" si="55"/>
        <v>0</v>
      </c>
      <c r="M156" s="415">
        <f t="shared" si="61"/>
        <v>-43</v>
      </c>
      <c r="N156" s="410"/>
      <c r="O156" s="558">
        <v>29</v>
      </c>
      <c r="P156" s="558">
        <v>14500</v>
      </c>
      <c r="Q156" s="334">
        <f t="shared" si="56"/>
        <v>-0.67441860465116277</v>
      </c>
      <c r="R156" s="430"/>
      <c r="S156" s="430"/>
      <c r="T156" s="430"/>
      <c r="U156" s="430"/>
      <c r="V156" s="430"/>
      <c r="W156" s="430"/>
    </row>
    <row r="157" spans="1:23" ht="16.5" customHeight="1" x14ac:dyDescent="0.25">
      <c r="A157" s="329">
        <v>8</v>
      </c>
      <c r="B157" s="303" t="s">
        <v>153</v>
      </c>
      <c r="C157" s="415">
        <f t="shared" si="57"/>
        <v>-5</v>
      </c>
      <c r="D157" s="368">
        <f t="shared" si="58"/>
        <v>0</v>
      </c>
      <c r="E157" s="368">
        <f t="shared" si="59"/>
        <v>0</v>
      </c>
      <c r="F157" s="368">
        <f t="shared" si="60"/>
        <v>0</v>
      </c>
      <c r="G157" s="337">
        <f t="shared" si="54"/>
        <v>0</v>
      </c>
      <c r="H157" s="419">
        <v>13</v>
      </c>
      <c r="I157" s="407"/>
      <c r="J157" s="407"/>
      <c r="K157" s="407"/>
      <c r="L157" s="333">
        <f t="shared" si="55"/>
        <v>0</v>
      </c>
      <c r="M157" s="415">
        <f t="shared" si="61"/>
        <v>-18</v>
      </c>
      <c r="N157" s="407"/>
      <c r="O157" s="558"/>
      <c r="P157" s="558"/>
      <c r="Q157" s="334">
        <f t="shared" si="56"/>
        <v>0</v>
      </c>
      <c r="R157" s="430"/>
      <c r="S157" s="430"/>
      <c r="T157" s="430"/>
      <c r="U157" s="430"/>
      <c r="V157" s="430"/>
      <c r="W157" s="430"/>
    </row>
    <row r="158" spans="1:23" ht="16.5" customHeight="1" x14ac:dyDescent="0.25">
      <c r="A158" s="329">
        <v>9</v>
      </c>
      <c r="B158" s="303" t="s">
        <v>154</v>
      </c>
      <c r="C158" s="415">
        <f t="shared" si="57"/>
        <v>11</v>
      </c>
      <c r="D158" s="368">
        <f t="shared" si="58"/>
        <v>0</v>
      </c>
      <c r="E158" s="368">
        <f t="shared" si="59"/>
        <v>4</v>
      </c>
      <c r="F158" s="368">
        <f t="shared" si="60"/>
        <v>18700</v>
      </c>
      <c r="G158" s="337">
        <f t="shared" si="54"/>
        <v>0.36363636363636365</v>
      </c>
      <c r="H158" s="419">
        <v>11</v>
      </c>
      <c r="I158" s="410"/>
      <c r="J158" s="410"/>
      <c r="K158" s="410"/>
      <c r="L158" s="333">
        <f t="shared" si="55"/>
        <v>0</v>
      </c>
      <c r="M158" s="415">
        <v>0</v>
      </c>
      <c r="N158" s="410"/>
      <c r="O158" s="558">
        <v>4</v>
      </c>
      <c r="P158" s="558">
        <v>18700</v>
      </c>
      <c r="Q158" s="334" t="e">
        <f t="shared" si="56"/>
        <v>#DIV/0!</v>
      </c>
      <c r="R158" s="430"/>
      <c r="S158" s="430"/>
      <c r="T158" s="430"/>
      <c r="U158" s="430"/>
      <c r="V158" s="430"/>
      <c r="W158" s="430"/>
    </row>
    <row r="159" spans="1:23" ht="16.5" customHeight="1" x14ac:dyDescent="0.25">
      <c r="A159" s="329">
        <v>10</v>
      </c>
      <c r="B159" s="303" t="s">
        <v>15</v>
      </c>
      <c r="C159" s="415">
        <f t="shared" si="57"/>
        <v>8</v>
      </c>
      <c r="D159" s="368">
        <f t="shared" si="58"/>
        <v>0</v>
      </c>
      <c r="E159" s="368">
        <f t="shared" si="59"/>
        <v>0</v>
      </c>
      <c r="F159" s="368">
        <f t="shared" si="60"/>
        <v>0</v>
      </c>
      <c r="G159" s="337">
        <f t="shared" si="54"/>
        <v>0</v>
      </c>
      <c r="H159" s="419">
        <v>7</v>
      </c>
      <c r="I159" s="407"/>
      <c r="J159" s="407"/>
      <c r="K159" s="407"/>
      <c r="L159" s="333">
        <f t="shared" si="55"/>
        <v>0</v>
      </c>
      <c r="M159" s="415">
        <f>M140-O140</f>
        <v>1</v>
      </c>
      <c r="N159" s="407"/>
      <c r="O159" s="557"/>
      <c r="P159" s="557"/>
      <c r="Q159" s="334">
        <f t="shared" si="56"/>
        <v>0</v>
      </c>
      <c r="R159" s="430"/>
      <c r="S159" s="430"/>
      <c r="T159" s="430"/>
      <c r="U159" s="430"/>
      <c r="V159" s="430"/>
      <c r="W159" s="430"/>
    </row>
    <row r="160" spans="1:23" ht="16.5" customHeight="1" x14ac:dyDescent="0.25">
      <c r="A160" s="329">
        <v>11</v>
      </c>
      <c r="B160" s="303" t="s">
        <v>155</v>
      </c>
      <c r="C160" s="415">
        <f t="shared" si="57"/>
        <v>17</v>
      </c>
      <c r="D160" s="368">
        <f t="shared" si="58"/>
        <v>0</v>
      </c>
      <c r="E160" s="368">
        <f t="shared" si="59"/>
        <v>1</v>
      </c>
      <c r="F160" s="368">
        <f t="shared" si="60"/>
        <v>1050</v>
      </c>
      <c r="G160" s="337">
        <f t="shared" si="54"/>
        <v>5.8823529411764705E-2</v>
      </c>
      <c r="H160" s="419">
        <v>17</v>
      </c>
      <c r="I160" s="410"/>
      <c r="J160" s="410"/>
      <c r="K160" s="410"/>
      <c r="L160" s="333">
        <f t="shared" si="55"/>
        <v>0</v>
      </c>
      <c r="M160" s="415">
        <f>M141-O141</f>
        <v>0</v>
      </c>
      <c r="N160" s="410"/>
      <c r="O160" s="557">
        <v>1</v>
      </c>
      <c r="P160" s="557">
        <v>1050</v>
      </c>
      <c r="Q160" s="334" t="e">
        <f t="shared" si="56"/>
        <v>#DIV/0!</v>
      </c>
      <c r="R160" s="430"/>
      <c r="S160" s="430"/>
      <c r="T160" s="430"/>
      <c r="U160" s="430"/>
      <c r="V160" s="430"/>
      <c r="W160" s="430"/>
    </row>
    <row r="161" spans="1:23" ht="16.5" customHeight="1" x14ac:dyDescent="0.25">
      <c r="A161" s="329">
        <v>12</v>
      </c>
      <c r="B161" s="303" t="s">
        <v>17</v>
      </c>
      <c r="C161" s="414">
        <f t="shared" si="57"/>
        <v>2</v>
      </c>
      <c r="D161" s="367">
        <f t="shared" si="58"/>
        <v>0</v>
      </c>
      <c r="E161" s="367">
        <f t="shared" si="59"/>
        <v>1</v>
      </c>
      <c r="F161" s="367">
        <f t="shared" si="60"/>
        <v>2250</v>
      </c>
      <c r="G161" s="331">
        <f t="shared" si="54"/>
        <v>0.5</v>
      </c>
      <c r="H161" s="418">
        <v>9</v>
      </c>
      <c r="I161" s="409"/>
      <c r="J161" s="409"/>
      <c r="K161" s="409"/>
      <c r="L161" s="333">
        <f t="shared" si="55"/>
        <v>0</v>
      </c>
      <c r="M161" s="414">
        <f>M142-O142</f>
        <v>-7</v>
      </c>
      <c r="N161" s="409"/>
      <c r="O161" s="553">
        <v>1</v>
      </c>
      <c r="P161" s="553">
        <v>2250</v>
      </c>
      <c r="Q161" s="334">
        <f t="shared" si="56"/>
        <v>-0.14285714285714285</v>
      </c>
      <c r="R161" s="430"/>
      <c r="S161" s="430"/>
      <c r="T161" s="430"/>
      <c r="U161" s="430"/>
      <c r="V161" s="430"/>
      <c r="W161" s="430"/>
    </row>
    <row r="162" spans="1:23" ht="16.5" customHeight="1" thickBot="1" x14ac:dyDescent="0.3">
      <c r="A162" s="405">
        <v>13</v>
      </c>
      <c r="B162" s="404" t="s">
        <v>18</v>
      </c>
      <c r="C162" s="416">
        <f t="shared" si="57"/>
        <v>19</v>
      </c>
      <c r="D162" s="369">
        <f t="shared" si="58"/>
        <v>0</v>
      </c>
      <c r="E162" s="369">
        <f t="shared" si="59"/>
        <v>10</v>
      </c>
      <c r="F162" s="369">
        <f t="shared" si="60"/>
        <v>3650</v>
      </c>
      <c r="G162" s="341">
        <f t="shared" si="54"/>
        <v>0.52631578947368418</v>
      </c>
      <c r="H162" s="420">
        <v>14</v>
      </c>
      <c r="I162" s="411"/>
      <c r="J162" s="411"/>
      <c r="K162" s="411"/>
      <c r="L162" s="343">
        <f t="shared" si="55"/>
        <v>0</v>
      </c>
      <c r="M162" s="416">
        <v>5</v>
      </c>
      <c r="N162" s="411"/>
      <c r="O162" s="565">
        <v>10</v>
      </c>
      <c r="P162" s="565">
        <v>3650</v>
      </c>
      <c r="Q162" s="344">
        <f t="shared" si="56"/>
        <v>2</v>
      </c>
      <c r="R162" s="430"/>
      <c r="S162" s="430"/>
      <c r="T162" s="430"/>
      <c r="U162" s="430"/>
      <c r="V162" s="430"/>
      <c r="W162" s="430"/>
    </row>
    <row r="163" spans="1:23" ht="16.5" customHeight="1" x14ac:dyDescent="0.25">
      <c r="R163" s="430"/>
      <c r="S163" s="430"/>
      <c r="T163" s="430"/>
      <c r="U163" s="430"/>
      <c r="V163" s="430"/>
      <c r="W163" s="430"/>
    </row>
    <row r="164" spans="1:23" ht="16.5" customHeight="1" thickBot="1" x14ac:dyDescent="0.3">
      <c r="B164" s="484">
        <v>45231</v>
      </c>
      <c r="R164" s="430"/>
      <c r="S164" s="430"/>
      <c r="T164" s="430"/>
      <c r="U164" s="430"/>
      <c r="V164" s="430"/>
      <c r="W164" s="430"/>
    </row>
    <row r="165" spans="1:23" ht="16.5" customHeight="1" thickBot="1" x14ac:dyDescent="0.3">
      <c r="A165" s="701" t="s">
        <v>0</v>
      </c>
      <c r="B165" s="705" t="s">
        <v>211</v>
      </c>
      <c r="C165" s="673" t="s">
        <v>212</v>
      </c>
      <c r="D165" s="721"/>
      <c r="E165" s="721"/>
      <c r="F165" s="721"/>
      <c r="G165" s="674"/>
      <c r="H165" s="723" t="s">
        <v>128</v>
      </c>
      <c r="I165" s="724"/>
      <c r="J165" s="724"/>
      <c r="K165" s="724"/>
      <c r="L165" s="724"/>
      <c r="M165" s="724"/>
      <c r="N165" s="724"/>
      <c r="O165" s="724"/>
      <c r="P165" s="724"/>
      <c r="Q165" s="725"/>
      <c r="R165" s="430"/>
      <c r="S165" s="430"/>
      <c r="T165" s="430"/>
      <c r="U165" s="430"/>
      <c r="V165" s="430"/>
      <c r="W165" s="430"/>
    </row>
    <row r="166" spans="1:23" ht="16.5" customHeight="1" x14ac:dyDescent="0.25">
      <c r="A166" s="702"/>
      <c r="B166" s="706"/>
      <c r="C166" s="677"/>
      <c r="D166" s="722"/>
      <c r="E166" s="722"/>
      <c r="F166" s="722"/>
      <c r="G166" s="678"/>
      <c r="H166" s="726" t="s">
        <v>213</v>
      </c>
      <c r="I166" s="726"/>
      <c r="J166" s="726"/>
      <c r="K166" s="726"/>
      <c r="L166" s="726"/>
      <c r="M166" s="727" t="s">
        <v>214</v>
      </c>
      <c r="N166" s="726"/>
      <c r="O166" s="726"/>
      <c r="P166" s="726"/>
      <c r="Q166" s="728"/>
      <c r="R166" s="430"/>
      <c r="S166" s="430"/>
      <c r="T166" s="430"/>
      <c r="U166" s="430"/>
      <c r="V166" s="430"/>
      <c r="W166" s="430"/>
    </row>
    <row r="167" spans="1:23" ht="16.5" customHeight="1" x14ac:dyDescent="0.25">
      <c r="A167" s="703"/>
      <c r="B167" s="707"/>
      <c r="C167" s="682" t="s">
        <v>143</v>
      </c>
      <c r="D167" s="683"/>
      <c r="E167" s="686" t="s">
        <v>198</v>
      </c>
      <c r="F167" s="683"/>
      <c r="G167" s="729" t="s">
        <v>199</v>
      </c>
      <c r="H167" s="709" t="s">
        <v>143</v>
      </c>
      <c r="I167" s="683"/>
      <c r="J167" s="686" t="s">
        <v>198</v>
      </c>
      <c r="K167" s="683"/>
      <c r="L167" s="686" t="s">
        <v>199</v>
      </c>
      <c r="M167" s="682" t="s">
        <v>143</v>
      </c>
      <c r="N167" s="683"/>
      <c r="O167" s="686" t="s">
        <v>198</v>
      </c>
      <c r="P167" s="683"/>
      <c r="Q167" s="535" t="s">
        <v>199</v>
      </c>
      <c r="R167" s="430"/>
      <c r="S167" s="430"/>
      <c r="T167" s="430"/>
      <c r="U167" s="430"/>
      <c r="V167" s="430"/>
      <c r="W167" s="430"/>
    </row>
    <row r="168" spans="1:23" ht="16.5" customHeight="1" thickBot="1" x14ac:dyDescent="0.3">
      <c r="A168" s="703"/>
      <c r="B168" s="707"/>
      <c r="C168" s="531" t="s">
        <v>203</v>
      </c>
      <c r="D168" s="319" t="s">
        <v>204</v>
      </c>
      <c r="E168" s="319" t="s">
        <v>203</v>
      </c>
      <c r="F168" s="319" t="s">
        <v>204</v>
      </c>
      <c r="G168" s="730"/>
      <c r="H168" s="320" t="s">
        <v>203</v>
      </c>
      <c r="I168" s="319" t="s">
        <v>204</v>
      </c>
      <c r="J168" s="319" t="s">
        <v>203</v>
      </c>
      <c r="K168" s="319" t="s">
        <v>204</v>
      </c>
      <c r="L168" s="731"/>
      <c r="M168" s="531" t="s">
        <v>203</v>
      </c>
      <c r="N168" s="319" t="s">
        <v>204</v>
      </c>
      <c r="O168" s="319" t="s">
        <v>203</v>
      </c>
      <c r="P168" s="319" t="s">
        <v>204</v>
      </c>
      <c r="Q168" s="533" t="s">
        <v>203</v>
      </c>
      <c r="R168" s="430"/>
      <c r="S168" s="430"/>
      <c r="T168" s="430"/>
      <c r="U168" s="430"/>
      <c r="V168" s="430"/>
      <c r="W168" s="430"/>
    </row>
    <row r="169" spans="1:23" ht="16.5" customHeight="1" thickBot="1" x14ac:dyDescent="0.3">
      <c r="A169" s="719" t="s">
        <v>163</v>
      </c>
      <c r="B169" s="720"/>
      <c r="C169" s="412">
        <f>SUM(C170:C182)</f>
        <v>-74</v>
      </c>
      <c r="D169" s="370">
        <f>SUM(D170:D182)</f>
        <v>0</v>
      </c>
      <c r="E169" s="370">
        <f>SUM(E170:E182)</f>
        <v>101</v>
      </c>
      <c r="F169" s="370">
        <f>SUM(F170:F182)</f>
        <v>67047</v>
      </c>
      <c r="G169" s="322">
        <f t="shared" ref="G169:G182" si="62">+E169/C169</f>
        <v>-1.3648648648648649</v>
      </c>
      <c r="H169" s="413">
        <f>SUM(H170:H182)</f>
        <v>145</v>
      </c>
      <c r="I169" s="370">
        <f>SUM(I170:I182)</f>
        <v>0</v>
      </c>
      <c r="J169" s="370">
        <f>SUM(J170:J182)</f>
        <v>0</v>
      </c>
      <c r="K169" s="370">
        <f>SUM(K170:K182)</f>
        <v>0</v>
      </c>
      <c r="L169" s="322">
        <f t="shared" ref="L169:L182" si="63">+J169/H169</f>
        <v>0</v>
      </c>
      <c r="M169" s="412">
        <f>SUM(M170:M182)</f>
        <v>-219</v>
      </c>
      <c r="N169" s="370">
        <f>SUM(N170:N182)</f>
        <v>0</v>
      </c>
      <c r="O169" s="370">
        <f>SUM(O170:O182)</f>
        <v>101</v>
      </c>
      <c r="P169" s="370">
        <f>SUM(P170:P182)</f>
        <v>67047</v>
      </c>
      <c r="Q169" s="322">
        <f t="shared" ref="Q169:Q182" si="64">+O169/M169</f>
        <v>-0.46118721461187212</v>
      </c>
      <c r="R169" s="430"/>
      <c r="S169" s="430"/>
      <c r="T169" s="430"/>
      <c r="U169" s="430"/>
      <c r="V169" s="430"/>
      <c r="W169" s="430"/>
    </row>
    <row r="170" spans="1:23" ht="16.5" customHeight="1" x14ac:dyDescent="0.25">
      <c r="A170" s="323">
        <v>1</v>
      </c>
      <c r="B170" s="324" t="s">
        <v>205</v>
      </c>
      <c r="C170" s="371">
        <f t="shared" ref="C170:C182" si="65">+H170+M170</f>
        <v>22</v>
      </c>
      <c r="D170" s="366">
        <f t="shared" ref="D170:D182" si="66">+I170+N170</f>
        <v>0</v>
      </c>
      <c r="E170" s="366">
        <f t="shared" ref="E170:E182" si="67">+J170+O170</f>
        <v>5</v>
      </c>
      <c r="F170" s="366">
        <f t="shared" ref="F170:F182" si="68">+K170+P170</f>
        <v>5000</v>
      </c>
      <c r="G170" s="326">
        <f t="shared" si="62"/>
        <v>0.22727272727272727</v>
      </c>
      <c r="H170" s="417">
        <v>14</v>
      </c>
      <c r="I170" s="406"/>
      <c r="J170" s="406"/>
      <c r="K170" s="406"/>
      <c r="L170" s="328">
        <f t="shared" si="63"/>
        <v>0</v>
      </c>
      <c r="M170" s="371">
        <f t="shared" ref="M170:M177" si="69">M151-O151</f>
        <v>8</v>
      </c>
      <c r="N170" s="406"/>
      <c r="O170" s="406">
        <v>5</v>
      </c>
      <c r="P170" s="571">
        <v>5000</v>
      </c>
      <c r="Q170" s="326">
        <f t="shared" si="64"/>
        <v>0.625</v>
      </c>
      <c r="R170" s="430"/>
      <c r="S170" s="430"/>
      <c r="T170" s="430"/>
      <c r="U170" s="430"/>
      <c r="V170" s="430"/>
      <c r="W170" s="430"/>
    </row>
    <row r="171" spans="1:23" ht="16.5" customHeight="1" x14ac:dyDescent="0.25">
      <c r="A171" s="329">
        <v>2</v>
      </c>
      <c r="B171" s="303" t="s">
        <v>147</v>
      </c>
      <c r="C171" s="414">
        <f t="shared" si="65"/>
        <v>-36</v>
      </c>
      <c r="D171" s="367">
        <f t="shared" si="66"/>
        <v>0</v>
      </c>
      <c r="E171" s="367">
        <f t="shared" si="67"/>
        <v>1</v>
      </c>
      <c r="F171" s="367">
        <f t="shared" si="68"/>
        <v>8150</v>
      </c>
      <c r="G171" s="331">
        <f t="shared" si="62"/>
        <v>-2.7777777777777776E-2</v>
      </c>
      <c r="H171" s="418">
        <v>8</v>
      </c>
      <c r="I171" s="409"/>
      <c r="J171" s="409"/>
      <c r="K171" s="409"/>
      <c r="L171" s="333">
        <f t="shared" si="63"/>
        <v>0</v>
      </c>
      <c r="M171" s="414">
        <f t="shared" si="69"/>
        <v>-44</v>
      </c>
      <c r="N171" s="409"/>
      <c r="O171" s="553">
        <v>1</v>
      </c>
      <c r="P171" s="553">
        <v>8150</v>
      </c>
      <c r="Q171" s="334">
        <f t="shared" si="64"/>
        <v>-2.2727272727272728E-2</v>
      </c>
      <c r="R171" s="430"/>
      <c r="S171" s="430"/>
      <c r="T171" s="430"/>
      <c r="U171" s="430"/>
      <c r="V171" s="430"/>
      <c r="W171" s="430"/>
    </row>
    <row r="172" spans="1:23" ht="16.5" customHeight="1" x14ac:dyDescent="0.25">
      <c r="A172" s="329">
        <v>3</v>
      </c>
      <c r="B172" s="303" t="s">
        <v>148</v>
      </c>
      <c r="C172" s="415">
        <f t="shared" si="65"/>
        <v>-37</v>
      </c>
      <c r="D172" s="368">
        <f t="shared" si="66"/>
        <v>0</v>
      </c>
      <c r="E172" s="368">
        <f t="shared" si="67"/>
        <v>0</v>
      </c>
      <c r="F172" s="368">
        <f t="shared" si="68"/>
        <v>0</v>
      </c>
      <c r="G172" s="337">
        <f t="shared" si="62"/>
        <v>0</v>
      </c>
      <c r="H172" s="419">
        <v>4</v>
      </c>
      <c r="I172" s="410"/>
      <c r="J172" s="410"/>
      <c r="K172" s="410"/>
      <c r="L172" s="333">
        <f t="shared" si="63"/>
        <v>0</v>
      </c>
      <c r="M172" s="415">
        <f t="shared" si="69"/>
        <v>-41</v>
      </c>
      <c r="N172" s="410"/>
      <c r="O172" s="557"/>
      <c r="P172" s="557"/>
      <c r="Q172" s="334">
        <f t="shared" si="64"/>
        <v>0</v>
      </c>
      <c r="R172" s="430"/>
      <c r="S172" s="430"/>
      <c r="T172" s="430"/>
      <c r="U172" s="430"/>
      <c r="V172" s="430"/>
      <c r="W172" s="430"/>
    </row>
    <row r="173" spans="1:23" ht="16.5" customHeight="1" x14ac:dyDescent="0.25">
      <c r="A173" s="329">
        <v>4</v>
      </c>
      <c r="B173" s="303" t="s">
        <v>206</v>
      </c>
      <c r="C173" s="415">
        <f t="shared" si="65"/>
        <v>16</v>
      </c>
      <c r="D173" s="368">
        <f t="shared" si="66"/>
        <v>0</v>
      </c>
      <c r="E173" s="368">
        <f t="shared" si="67"/>
        <v>46</v>
      </c>
      <c r="F173" s="368">
        <f t="shared" si="68"/>
        <v>18597</v>
      </c>
      <c r="G173" s="337">
        <f t="shared" si="62"/>
        <v>2.875</v>
      </c>
      <c r="H173" s="419">
        <v>12</v>
      </c>
      <c r="I173" s="410"/>
      <c r="J173" s="410"/>
      <c r="K173" s="410"/>
      <c r="L173" s="333">
        <f t="shared" si="63"/>
        <v>0</v>
      </c>
      <c r="M173" s="415">
        <f t="shared" si="69"/>
        <v>4</v>
      </c>
      <c r="N173" s="410"/>
      <c r="O173" s="557">
        <v>46</v>
      </c>
      <c r="P173" s="557">
        <v>18597</v>
      </c>
      <c r="Q173" s="334">
        <f t="shared" si="64"/>
        <v>11.5</v>
      </c>
      <c r="R173" s="430"/>
      <c r="S173" s="430"/>
      <c r="T173" s="430"/>
      <c r="U173" s="430"/>
      <c r="V173" s="430"/>
      <c r="W173" s="430"/>
    </row>
    <row r="174" spans="1:23" ht="16.5" customHeight="1" x14ac:dyDescent="0.25">
      <c r="A174" s="329">
        <v>5</v>
      </c>
      <c r="B174" s="303" t="s">
        <v>174</v>
      </c>
      <c r="C174" s="415">
        <f t="shared" si="65"/>
        <v>-35</v>
      </c>
      <c r="D174" s="368">
        <f t="shared" si="66"/>
        <v>0</v>
      </c>
      <c r="E174" s="368">
        <f t="shared" si="67"/>
        <v>0</v>
      </c>
      <c r="F174" s="368">
        <f t="shared" si="68"/>
        <v>0</v>
      </c>
      <c r="G174" s="337">
        <f t="shared" si="62"/>
        <v>0</v>
      </c>
      <c r="H174" s="419">
        <v>8</v>
      </c>
      <c r="I174" s="410"/>
      <c r="J174" s="410"/>
      <c r="K174" s="410"/>
      <c r="L174" s="333">
        <f t="shared" si="63"/>
        <v>0</v>
      </c>
      <c r="M174" s="415">
        <f t="shared" si="69"/>
        <v>-43</v>
      </c>
      <c r="N174" s="410"/>
      <c r="O174" s="557"/>
      <c r="P174" s="558"/>
      <c r="Q174" s="334">
        <f t="shared" si="64"/>
        <v>0</v>
      </c>
      <c r="R174" s="430"/>
      <c r="S174" s="430"/>
      <c r="T174" s="430"/>
      <c r="U174" s="430"/>
      <c r="V174" s="430"/>
      <c r="W174" s="430"/>
    </row>
    <row r="175" spans="1:23" ht="16.5" customHeight="1" x14ac:dyDescent="0.25">
      <c r="A175" s="329">
        <v>6</v>
      </c>
      <c r="B175" s="303" t="s">
        <v>151</v>
      </c>
      <c r="C175" s="415">
        <f t="shared" si="65"/>
        <v>-66</v>
      </c>
      <c r="D175" s="368">
        <f t="shared" si="66"/>
        <v>0</v>
      </c>
      <c r="E175" s="368">
        <f t="shared" si="67"/>
        <v>0</v>
      </c>
      <c r="F175" s="368">
        <f t="shared" si="68"/>
        <v>0</v>
      </c>
      <c r="G175" s="337">
        <f t="shared" si="62"/>
        <v>0</v>
      </c>
      <c r="H175" s="419">
        <v>6</v>
      </c>
      <c r="I175" s="410"/>
      <c r="J175" s="410"/>
      <c r="K175" s="410"/>
      <c r="L175" s="333">
        <f t="shared" si="63"/>
        <v>0</v>
      </c>
      <c r="M175" s="415">
        <f t="shared" si="69"/>
        <v>-72</v>
      </c>
      <c r="N175" s="410"/>
      <c r="O175" s="558"/>
      <c r="P175" s="558"/>
      <c r="Q175" s="334">
        <f t="shared" si="64"/>
        <v>0</v>
      </c>
      <c r="R175" s="430"/>
      <c r="S175" s="430"/>
      <c r="T175" s="430"/>
      <c r="U175" s="430"/>
      <c r="V175" s="430"/>
      <c r="W175" s="430"/>
    </row>
    <row r="176" spans="1:23" ht="16.5" customHeight="1" x14ac:dyDescent="0.25">
      <c r="A176" s="329">
        <v>7</v>
      </c>
      <c r="B176" s="303" t="s">
        <v>207</v>
      </c>
      <c r="C176" s="415">
        <f t="shared" si="65"/>
        <v>4</v>
      </c>
      <c r="D176" s="368">
        <f t="shared" si="66"/>
        <v>0</v>
      </c>
      <c r="E176" s="368">
        <f t="shared" si="67"/>
        <v>29</v>
      </c>
      <c r="F176" s="368">
        <f t="shared" si="68"/>
        <v>14500</v>
      </c>
      <c r="G176" s="337">
        <f t="shared" si="62"/>
        <v>7.25</v>
      </c>
      <c r="H176" s="419">
        <v>22</v>
      </c>
      <c r="I176" s="410"/>
      <c r="J176" s="410"/>
      <c r="K176" s="410"/>
      <c r="L176" s="333">
        <f t="shared" si="63"/>
        <v>0</v>
      </c>
      <c r="M176" s="415">
        <f t="shared" si="69"/>
        <v>-18</v>
      </c>
      <c r="N176" s="410"/>
      <c r="O176" s="558">
        <v>29</v>
      </c>
      <c r="P176" s="558">
        <v>14500</v>
      </c>
      <c r="Q176" s="334">
        <f t="shared" si="64"/>
        <v>-1.6111111111111112</v>
      </c>
      <c r="R176" s="430"/>
      <c r="S176" s="430"/>
      <c r="T176" s="430"/>
      <c r="U176" s="430"/>
      <c r="V176" s="430"/>
      <c r="W176" s="430"/>
    </row>
    <row r="177" spans="1:23" ht="16.5" customHeight="1" x14ac:dyDescent="0.25">
      <c r="A177" s="329">
        <v>8</v>
      </c>
      <c r="B177" s="303" t="s">
        <v>153</v>
      </c>
      <c r="C177" s="415">
        <f t="shared" si="65"/>
        <v>9</v>
      </c>
      <c r="D177" s="368">
        <f t="shared" si="66"/>
        <v>0</v>
      </c>
      <c r="E177" s="368">
        <f t="shared" si="67"/>
        <v>0</v>
      </c>
      <c r="F177" s="368">
        <f t="shared" si="68"/>
        <v>0</v>
      </c>
      <c r="G177" s="337">
        <f t="shared" si="62"/>
        <v>0</v>
      </c>
      <c r="H177" s="419">
        <v>13</v>
      </c>
      <c r="I177" s="407"/>
      <c r="J177" s="407"/>
      <c r="K177" s="407"/>
      <c r="L177" s="333">
        <f t="shared" si="63"/>
        <v>0</v>
      </c>
      <c r="M177" s="415">
        <f t="shared" si="69"/>
        <v>-4</v>
      </c>
      <c r="N177" s="407"/>
      <c r="O177" s="558"/>
      <c r="P177" s="558"/>
      <c r="Q177" s="334">
        <f t="shared" si="64"/>
        <v>0</v>
      </c>
      <c r="R177" s="430"/>
      <c r="S177" s="430"/>
      <c r="T177" s="430"/>
      <c r="U177" s="430"/>
      <c r="V177" s="430"/>
      <c r="W177" s="430"/>
    </row>
    <row r="178" spans="1:23" ht="16.5" customHeight="1" x14ac:dyDescent="0.25">
      <c r="A178" s="329">
        <v>9</v>
      </c>
      <c r="B178" s="303" t="s">
        <v>154</v>
      </c>
      <c r="C178" s="415">
        <f t="shared" si="65"/>
        <v>11</v>
      </c>
      <c r="D178" s="368">
        <f t="shared" si="66"/>
        <v>0</v>
      </c>
      <c r="E178" s="368">
        <f t="shared" si="67"/>
        <v>0</v>
      </c>
      <c r="F178" s="368">
        <f t="shared" si="68"/>
        <v>0</v>
      </c>
      <c r="G178" s="337">
        <f t="shared" si="62"/>
        <v>0</v>
      </c>
      <c r="H178" s="419">
        <v>11</v>
      </c>
      <c r="I178" s="410"/>
      <c r="J178" s="410"/>
      <c r="K178" s="410"/>
      <c r="L178" s="333">
        <f t="shared" si="63"/>
        <v>0</v>
      </c>
      <c r="M178" s="415">
        <v>0</v>
      </c>
      <c r="N178" s="410"/>
      <c r="O178" s="558"/>
      <c r="P178" s="558"/>
      <c r="Q178" s="334" t="e">
        <f t="shared" si="64"/>
        <v>#DIV/0!</v>
      </c>
      <c r="R178" s="430"/>
      <c r="S178" s="430"/>
      <c r="T178" s="430"/>
      <c r="U178" s="430"/>
      <c r="V178" s="430"/>
      <c r="W178" s="430"/>
    </row>
    <row r="179" spans="1:23" ht="16.5" customHeight="1" x14ac:dyDescent="0.25">
      <c r="A179" s="329">
        <v>10</v>
      </c>
      <c r="B179" s="303" t="s">
        <v>15</v>
      </c>
      <c r="C179" s="415">
        <f t="shared" si="65"/>
        <v>6</v>
      </c>
      <c r="D179" s="368">
        <f t="shared" si="66"/>
        <v>0</v>
      </c>
      <c r="E179" s="368">
        <f t="shared" si="67"/>
        <v>11</v>
      </c>
      <c r="F179" s="368">
        <f t="shared" si="68"/>
        <v>13900</v>
      </c>
      <c r="G179" s="337">
        <f t="shared" si="62"/>
        <v>1.8333333333333333</v>
      </c>
      <c r="H179" s="419">
        <v>7</v>
      </c>
      <c r="I179" s="407"/>
      <c r="J179" s="407"/>
      <c r="K179" s="407"/>
      <c r="L179" s="333">
        <f t="shared" si="63"/>
        <v>0</v>
      </c>
      <c r="M179" s="415">
        <f>M160-O160</f>
        <v>-1</v>
      </c>
      <c r="N179" s="407"/>
      <c r="O179" s="557">
        <v>11</v>
      </c>
      <c r="P179" s="557">
        <v>13900</v>
      </c>
      <c r="Q179" s="334">
        <f t="shared" si="64"/>
        <v>-11</v>
      </c>
      <c r="R179" s="430"/>
      <c r="S179" s="430"/>
      <c r="T179" s="430"/>
      <c r="U179" s="430"/>
      <c r="V179" s="430"/>
      <c r="W179" s="430"/>
    </row>
    <row r="180" spans="1:23" ht="16.5" customHeight="1" x14ac:dyDescent="0.25">
      <c r="A180" s="329">
        <v>11</v>
      </c>
      <c r="B180" s="303" t="s">
        <v>155</v>
      </c>
      <c r="C180" s="415">
        <f t="shared" si="65"/>
        <v>9</v>
      </c>
      <c r="D180" s="368">
        <f t="shared" si="66"/>
        <v>0</v>
      </c>
      <c r="E180" s="368">
        <f t="shared" si="67"/>
        <v>0</v>
      </c>
      <c r="F180" s="368">
        <f t="shared" si="68"/>
        <v>0</v>
      </c>
      <c r="G180" s="337">
        <f t="shared" si="62"/>
        <v>0</v>
      </c>
      <c r="H180" s="419">
        <v>17</v>
      </c>
      <c r="I180" s="410"/>
      <c r="J180" s="410"/>
      <c r="K180" s="410"/>
      <c r="L180" s="333">
        <f t="shared" si="63"/>
        <v>0</v>
      </c>
      <c r="M180" s="415">
        <f>M161-O161</f>
        <v>-8</v>
      </c>
      <c r="N180" s="410"/>
      <c r="O180" s="557"/>
      <c r="P180" s="557"/>
      <c r="Q180" s="334">
        <f t="shared" si="64"/>
        <v>0</v>
      </c>
      <c r="R180" s="430"/>
      <c r="S180" s="430"/>
      <c r="T180" s="430"/>
      <c r="U180" s="430"/>
      <c r="V180" s="430"/>
      <c r="W180" s="430"/>
    </row>
    <row r="181" spans="1:23" ht="16.5" customHeight="1" x14ac:dyDescent="0.25">
      <c r="A181" s="329">
        <v>12</v>
      </c>
      <c r="B181" s="303" t="s">
        <v>17</v>
      </c>
      <c r="C181" s="414">
        <f t="shared" si="65"/>
        <v>4</v>
      </c>
      <c r="D181" s="367">
        <f t="shared" si="66"/>
        <v>0</v>
      </c>
      <c r="E181" s="367">
        <f t="shared" si="67"/>
        <v>1</v>
      </c>
      <c r="F181" s="367">
        <f t="shared" si="68"/>
        <v>2500</v>
      </c>
      <c r="G181" s="331">
        <f t="shared" si="62"/>
        <v>0.25</v>
      </c>
      <c r="H181" s="418">
        <v>9</v>
      </c>
      <c r="I181" s="409"/>
      <c r="J181" s="409"/>
      <c r="K181" s="409"/>
      <c r="L181" s="333">
        <f t="shared" si="63"/>
        <v>0</v>
      </c>
      <c r="M181" s="414">
        <f>M162-O162</f>
        <v>-5</v>
      </c>
      <c r="N181" s="409"/>
      <c r="O181" s="553">
        <v>1</v>
      </c>
      <c r="P181" s="553">
        <v>2500</v>
      </c>
      <c r="Q181" s="334">
        <f t="shared" si="64"/>
        <v>-0.2</v>
      </c>
      <c r="R181" s="430"/>
      <c r="S181" s="430"/>
      <c r="T181" s="430"/>
      <c r="U181" s="430"/>
      <c r="V181" s="430"/>
      <c r="W181" s="430"/>
    </row>
    <row r="182" spans="1:23" ht="16.5" customHeight="1" thickBot="1" x14ac:dyDescent="0.3">
      <c r="A182" s="405">
        <v>13</v>
      </c>
      <c r="B182" s="404" t="s">
        <v>18</v>
      </c>
      <c r="C182" s="416">
        <f t="shared" si="65"/>
        <v>19</v>
      </c>
      <c r="D182" s="369">
        <f t="shared" si="66"/>
        <v>0</v>
      </c>
      <c r="E182" s="369">
        <f t="shared" si="67"/>
        <v>8</v>
      </c>
      <c r="F182" s="369">
        <f t="shared" si="68"/>
        <v>4400</v>
      </c>
      <c r="G182" s="341">
        <f t="shared" si="62"/>
        <v>0.42105263157894735</v>
      </c>
      <c r="H182" s="420">
        <v>14</v>
      </c>
      <c r="I182" s="411"/>
      <c r="J182" s="411"/>
      <c r="K182" s="411"/>
      <c r="L182" s="343">
        <f t="shared" si="63"/>
        <v>0</v>
      </c>
      <c r="M182" s="416">
        <v>5</v>
      </c>
      <c r="N182" s="411"/>
      <c r="O182" s="565">
        <v>8</v>
      </c>
      <c r="P182" s="565">
        <v>4400</v>
      </c>
      <c r="Q182" s="344">
        <f t="shared" si="64"/>
        <v>1.6</v>
      </c>
      <c r="R182" s="430"/>
      <c r="S182" s="430"/>
      <c r="T182" s="430"/>
      <c r="U182" s="430"/>
      <c r="V182" s="430"/>
      <c r="W182" s="430"/>
    </row>
    <row r="183" spans="1:23" ht="16.5" customHeight="1" x14ac:dyDescent="0.25">
      <c r="R183" s="430"/>
      <c r="S183" s="430"/>
      <c r="T183" s="430"/>
      <c r="U183" s="430"/>
      <c r="V183" s="430"/>
      <c r="W183" s="430"/>
    </row>
    <row r="184" spans="1:23" ht="16.5" customHeight="1" x14ac:dyDescent="0.25">
      <c r="R184" s="430"/>
      <c r="S184" s="430"/>
      <c r="T184" s="430"/>
      <c r="U184" s="430"/>
      <c r="V184" s="430"/>
      <c r="W184" s="430"/>
    </row>
    <row r="185" spans="1:23" ht="16.5" customHeight="1" thickBot="1" x14ac:dyDescent="0.3">
      <c r="B185" s="484">
        <v>45261</v>
      </c>
      <c r="R185" s="430"/>
      <c r="S185" s="430"/>
      <c r="T185" s="430"/>
      <c r="U185" s="430"/>
      <c r="V185" s="430"/>
      <c r="W185" s="430"/>
    </row>
    <row r="186" spans="1:23" ht="16.5" customHeight="1" thickBot="1" x14ac:dyDescent="0.3">
      <c r="A186" s="701" t="s">
        <v>0</v>
      </c>
      <c r="B186" s="705" t="s">
        <v>211</v>
      </c>
      <c r="C186" s="673" t="s">
        <v>212</v>
      </c>
      <c r="D186" s="721"/>
      <c r="E186" s="721"/>
      <c r="F186" s="721"/>
      <c r="G186" s="674"/>
      <c r="H186" s="723" t="s">
        <v>128</v>
      </c>
      <c r="I186" s="724"/>
      <c r="J186" s="724"/>
      <c r="K186" s="724"/>
      <c r="L186" s="724"/>
      <c r="M186" s="724"/>
      <c r="N186" s="724"/>
      <c r="O186" s="724"/>
      <c r="P186" s="724"/>
      <c r="Q186" s="725"/>
      <c r="R186" s="430"/>
      <c r="S186" s="430"/>
      <c r="T186" s="430"/>
      <c r="U186" s="430"/>
      <c r="V186" s="430"/>
      <c r="W186" s="430"/>
    </row>
    <row r="187" spans="1:23" ht="16.5" customHeight="1" x14ac:dyDescent="0.25">
      <c r="A187" s="702"/>
      <c r="B187" s="706"/>
      <c r="C187" s="677"/>
      <c r="D187" s="722"/>
      <c r="E187" s="722"/>
      <c r="F187" s="722"/>
      <c r="G187" s="678"/>
      <c r="H187" s="726" t="s">
        <v>213</v>
      </c>
      <c r="I187" s="726"/>
      <c r="J187" s="726"/>
      <c r="K187" s="726"/>
      <c r="L187" s="726"/>
      <c r="M187" s="727" t="s">
        <v>214</v>
      </c>
      <c r="N187" s="726"/>
      <c r="O187" s="726"/>
      <c r="P187" s="726"/>
      <c r="Q187" s="728"/>
      <c r="R187" s="430"/>
      <c r="S187" s="430"/>
      <c r="T187" s="430"/>
      <c r="U187" s="430"/>
      <c r="V187" s="430"/>
      <c r="W187" s="430"/>
    </row>
    <row r="188" spans="1:23" ht="16.5" customHeight="1" x14ac:dyDescent="0.25">
      <c r="A188" s="703"/>
      <c r="B188" s="707"/>
      <c r="C188" s="682" t="s">
        <v>143</v>
      </c>
      <c r="D188" s="683"/>
      <c r="E188" s="686" t="s">
        <v>198</v>
      </c>
      <c r="F188" s="683"/>
      <c r="G188" s="729" t="s">
        <v>199</v>
      </c>
      <c r="H188" s="709" t="s">
        <v>143</v>
      </c>
      <c r="I188" s="683"/>
      <c r="J188" s="686" t="s">
        <v>198</v>
      </c>
      <c r="K188" s="683"/>
      <c r="L188" s="686" t="s">
        <v>199</v>
      </c>
      <c r="M188" s="682" t="s">
        <v>143</v>
      </c>
      <c r="N188" s="683"/>
      <c r="O188" s="686" t="s">
        <v>198</v>
      </c>
      <c r="P188" s="683"/>
      <c r="Q188" s="590" t="s">
        <v>199</v>
      </c>
      <c r="R188" s="430"/>
      <c r="S188" s="430"/>
      <c r="T188" s="430"/>
      <c r="U188" s="430"/>
      <c r="V188" s="430"/>
      <c r="W188" s="430"/>
    </row>
    <row r="189" spans="1:23" ht="16.5" customHeight="1" thickBot="1" x14ac:dyDescent="0.3">
      <c r="A189" s="703"/>
      <c r="B189" s="707"/>
      <c r="C189" s="586" t="s">
        <v>203</v>
      </c>
      <c r="D189" s="319" t="s">
        <v>204</v>
      </c>
      <c r="E189" s="319" t="s">
        <v>203</v>
      </c>
      <c r="F189" s="319" t="s">
        <v>204</v>
      </c>
      <c r="G189" s="730"/>
      <c r="H189" s="320" t="s">
        <v>203</v>
      </c>
      <c r="I189" s="319" t="s">
        <v>204</v>
      </c>
      <c r="J189" s="319" t="s">
        <v>203</v>
      </c>
      <c r="K189" s="319" t="s">
        <v>204</v>
      </c>
      <c r="L189" s="731"/>
      <c r="M189" s="586" t="s">
        <v>203</v>
      </c>
      <c r="N189" s="319" t="s">
        <v>204</v>
      </c>
      <c r="O189" s="319" t="s">
        <v>203</v>
      </c>
      <c r="P189" s="319" t="s">
        <v>204</v>
      </c>
      <c r="Q189" s="588" t="s">
        <v>203</v>
      </c>
      <c r="R189" s="430"/>
      <c r="S189" s="430"/>
      <c r="T189" s="430"/>
      <c r="U189" s="430"/>
      <c r="V189" s="430"/>
      <c r="W189" s="430"/>
    </row>
    <row r="190" spans="1:23" ht="16.5" customHeight="1" thickBot="1" x14ac:dyDescent="0.3">
      <c r="A190" s="719" t="s">
        <v>163</v>
      </c>
      <c r="B190" s="720"/>
      <c r="C190" s="412">
        <f>SUM(C191:C203)</f>
        <v>-120</v>
      </c>
      <c r="D190" s="370">
        <f>SUM(D191:D203)</f>
        <v>0</v>
      </c>
      <c r="E190" s="370">
        <f>SUM(E191:E203)</f>
        <v>44</v>
      </c>
      <c r="F190" s="370">
        <f>SUM(F191:F203)</f>
        <v>98197</v>
      </c>
      <c r="G190" s="322">
        <f t="shared" ref="G190:G203" si="70">+E190/C190</f>
        <v>-0.36666666666666664</v>
      </c>
      <c r="H190" s="413">
        <f>SUM(H191:H203)</f>
        <v>145</v>
      </c>
      <c r="I190" s="370">
        <f>SUM(I191:I203)</f>
        <v>0</v>
      </c>
      <c r="J190" s="370">
        <f>SUM(J191:J203)</f>
        <v>0</v>
      </c>
      <c r="K190" s="370">
        <f>SUM(K191:K203)</f>
        <v>0</v>
      </c>
      <c r="L190" s="322">
        <f t="shared" ref="L190:L203" si="71">+J190/H190</f>
        <v>0</v>
      </c>
      <c r="M190" s="412">
        <f>SUM(M191:M203)</f>
        <v>-265</v>
      </c>
      <c r="N190" s="370">
        <f>SUM(N191:N203)</f>
        <v>0</v>
      </c>
      <c r="O190" s="370">
        <f>SUM(O191:O203)</f>
        <v>44</v>
      </c>
      <c r="P190" s="370">
        <f>SUM(P191:P203)</f>
        <v>98197</v>
      </c>
      <c r="Q190" s="322">
        <f t="shared" ref="Q190:Q203" si="72">+O190/M190</f>
        <v>-0.16603773584905659</v>
      </c>
      <c r="R190" s="430"/>
      <c r="S190" s="430"/>
      <c r="T190" s="430"/>
      <c r="U190" s="430"/>
      <c r="V190" s="430"/>
      <c r="W190" s="430"/>
    </row>
    <row r="191" spans="1:23" ht="16.5" customHeight="1" x14ac:dyDescent="0.25">
      <c r="A191" s="323">
        <v>1</v>
      </c>
      <c r="B191" s="324" t="s">
        <v>205</v>
      </c>
      <c r="C191" s="371">
        <f t="shared" ref="C191:C203" si="73">+H191+M191</f>
        <v>-27</v>
      </c>
      <c r="D191" s="366">
        <f t="shared" ref="D191:D203" si="74">+I191+N191</f>
        <v>0</v>
      </c>
      <c r="E191" s="366">
        <f t="shared" ref="E191:E203" si="75">+J191+O191</f>
        <v>0</v>
      </c>
      <c r="F191" s="366">
        <f t="shared" ref="F191:F203" si="76">+K191+P191</f>
        <v>0</v>
      </c>
      <c r="G191" s="326">
        <f t="shared" si="70"/>
        <v>0</v>
      </c>
      <c r="H191" s="417">
        <v>14</v>
      </c>
      <c r="I191" s="406"/>
      <c r="J191" s="406"/>
      <c r="K191" s="406"/>
      <c r="L191" s="328">
        <f t="shared" si="71"/>
        <v>0</v>
      </c>
      <c r="M191" s="371">
        <f t="shared" ref="M191:M198" si="77">M172-O172</f>
        <v>-41</v>
      </c>
      <c r="N191" s="406"/>
      <c r="O191" s="406"/>
      <c r="P191" s="571"/>
      <c r="Q191" s="326">
        <f t="shared" si="72"/>
        <v>0</v>
      </c>
      <c r="R191" s="430"/>
      <c r="S191" s="430"/>
      <c r="T191" s="430"/>
      <c r="U191" s="430"/>
      <c r="V191" s="430"/>
      <c r="W191" s="430"/>
    </row>
    <row r="192" spans="1:23" ht="16.5" customHeight="1" x14ac:dyDescent="0.25">
      <c r="A192" s="329">
        <v>2</v>
      </c>
      <c r="B192" s="303" t="s">
        <v>147</v>
      </c>
      <c r="C192" s="414">
        <f t="shared" si="73"/>
        <v>-34</v>
      </c>
      <c r="D192" s="367">
        <f t="shared" si="74"/>
        <v>0</v>
      </c>
      <c r="E192" s="367">
        <f t="shared" si="75"/>
        <v>0</v>
      </c>
      <c r="F192" s="367">
        <f t="shared" si="76"/>
        <v>24450</v>
      </c>
      <c r="G192" s="331">
        <f t="shared" si="70"/>
        <v>0</v>
      </c>
      <c r="H192" s="418">
        <v>8</v>
      </c>
      <c r="I192" s="409"/>
      <c r="J192" s="409"/>
      <c r="K192" s="409"/>
      <c r="L192" s="333">
        <f t="shared" si="71"/>
        <v>0</v>
      </c>
      <c r="M192" s="414">
        <f t="shared" si="77"/>
        <v>-42</v>
      </c>
      <c r="N192" s="409"/>
      <c r="O192" s="553"/>
      <c r="P192" s="553">
        <v>24450</v>
      </c>
      <c r="Q192" s="334">
        <f t="shared" si="72"/>
        <v>0</v>
      </c>
      <c r="R192" s="430"/>
      <c r="S192" s="430"/>
      <c r="T192" s="430"/>
      <c r="U192" s="430"/>
      <c r="V192" s="430"/>
      <c r="W192" s="430"/>
    </row>
    <row r="193" spans="1:23" ht="16.5" customHeight="1" x14ac:dyDescent="0.25">
      <c r="A193" s="329">
        <v>3</v>
      </c>
      <c r="B193" s="303" t="s">
        <v>148</v>
      </c>
      <c r="C193" s="415">
        <f t="shared" si="73"/>
        <v>-39</v>
      </c>
      <c r="D193" s="368">
        <f t="shared" si="74"/>
        <v>0</v>
      </c>
      <c r="E193" s="368">
        <f t="shared" si="75"/>
        <v>0</v>
      </c>
      <c r="F193" s="368">
        <f t="shared" si="76"/>
        <v>0</v>
      </c>
      <c r="G193" s="337">
        <f t="shared" si="70"/>
        <v>0</v>
      </c>
      <c r="H193" s="419">
        <v>4</v>
      </c>
      <c r="I193" s="410"/>
      <c r="J193" s="410"/>
      <c r="K193" s="410"/>
      <c r="L193" s="333">
        <f t="shared" si="71"/>
        <v>0</v>
      </c>
      <c r="M193" s="415">
        <f t="shared" si="77"/>
        <v>-43</v>
      </c>
      <c r="N193" s="410"/>
      <c r="O193" s="557"/>
      <c r="P193" s="557"/>
      <c r="Q193" s="334">
        <f t="shared" si="72"/>
        <v>0</v>
      </c>
      <c r="R193" s="430"/>
      <c r="S193" s="430"/>
      <c r="T193" s="430"/>
      <c r="U193" s="430"/>
      <c r="V193" s="430"/>
      <c r="W193" s="430"/>
    </row>
    <row r="194" spans="1:23" ht="16.5" customHeight="1" x14ac:dyDescent="0.25">
      <c r="A194" s="329">
        <v>4</v>
      </c>
      <c r="B194" s="303" t="s">
        <v>206</v>
      </c>
      <c r="C194" s="415">
        <f t="shared" si="73"/>
        <v>-60</v>
      </c>
      <c r="D194" s="368">
        <f t="shared" si="74"/>
        <v>0</v>
      </c>
      <c r="E194" s="368">
        <f t="shared" si="75"/>
        <v>0</v>
      </c>
      <c r="F194" s="368">
        <f t="shared" si="76"/>
        <v>18097</v>
      </c>
      <c r="G194" s="337">
        <f t="shared" si="70"/>
        <v>0</v>
      </c>
      <c r="H194" s="419">
        <v>12</v>
      </c>
      <c r="I194" s="410"/>
      <c r="J194" s="410"/>
      <c r="K194" s="410"/>
      <c r="L194" s="333">
        <f t="shared" si="71"/>
        <v>0</v>
      </c>
      <c r="M194" s="415">
        <f t="shared" si="77"/>
        <v>-72</v>
      </c>
      <c r="N194" s="410"/>
      <c r="O194" s="557"/>
      <c r="P194" s="557">
        <v>18097</v>
      </c>
      <c r="Q194" s="334">
        <f t="shared" si="72"/>
        <v>0</v>
      </c>
      <c r="R194" s="430"/>
      <c r="S194" s="430"/>
      <c r="T194" s="430"/>
      <c r="U194" s="430"/>
      <c r="V194" s="430"/>
      <c r="W194" s="430"/>
    </row>
    <row r="195" spans="1:23" ht="16.5" customHeight="1" x14ac:dyDescent="0.25">
      <c r="A195" s="329">
        <v>5</v>
      </c>
      <c r="B195" s="303" t="s">
        <v>174</v>
      </c>
      <c r="C195" s="415">
        <f t="shared" si="73"/>
        <v>-39</v>
      </c>
      <c r="D195" s="368">
        <f t="shared" si="74"/>
        <v>0</v>
      </c>
      <c r="E195" s="368">
        <f t="shared" si="75"/>
        <v>0</v>
      </c>
      <c r="F195" s="368">
        <f t="shared" si="76"/>
        <v>0</v>
      </c>
      <c r="G195" s="337">
        <f t="shared" si="70"/>
        <v>0</v>
      </c>
      <c r="H195" s="419">
        <v>8</v>
      </c>
      <c r="I195" s="410"/>
      <c r="J195" s="410"/>
      <c r="K195" s="410"/>
      <c r="L195" s="333">
        <f t="shared" si="71"/>
        <v>0</v>
      </c>
      <c r="M195" s="415">
        <f t="shared" si="77"/>
        <v>-47</v>
      </c>
      <c r="N195" s="410"/>
      <c r="O195" s="557"/>
      <c r="P195" s="558"/>
      <c r="Q195" s="334">
        <f t="shared" si="72"/>
        <v>0</v>
      </c>
      <c r="R195" s="430"/>
      <c r="S195" s="430"/>
      <c r="T195" s="430"/>
      <c r="U195" s="430"/>
      <c r="V195" s="430"/>
      <c r="W195" s="430"/>
    </row>
    <row r="196" spans="1:23" ht="16.5" customHeight="1" x14ac:dyDescent="0.25">
      <c r="A196" s="329">
        <v>6</v>
      </c>
      <c r="B196" s="303" t="s">
        <v>151</v>
      </c>
      <c r="C196" s="415">
        <f t="shared" si="73"/>
        <v>2</v>
      </c>
      <c r="D196" s="368">
        <f t="shared" si="74"/>
        <v>0</v>
      </c>
      <c r="E196" s="368">
        <f t="shared" si="75"/>
        <v>0</v>
      </c>
      <c r="F196" s="368">
        <f t="shared" si="76"/>
        <v>0</v>
      </c>
      <c r="G196" s="337">
        <f t="shared" si="70"/>
        <v>0</v>
      </c>
      <c r="H196" s="419">
        <v>6</v>
      </c>
      <c r="I196" s="410"/>
      <c r="J196" s="410"/>
      <c r="K196" s="410"/>
      <c r="L196" s="333">
        <f t="shared" si="71"/>
        <v>0</v>
      </c>
      <c r="M196" s="415">
        <f t="shared" si="77"/>
        <v>-4</v>
      </c>
      <c r="N196" s="410"/>
      <c r="O196" s="558"/>
      <c r="P196" s="558"/>
      <c r="Q196" s="334">
        <f t="shared" si="72"/>
        <v>0</v>
      </c>
      <c r="R196" s="430"/>
      <c r="S196" s="430"/>
      <c r="T196" s="430"/>
      <c r="U196" s="430"/>
      <c r="V196" s="430"/>
      <c r="W196" s="430"/>
    </row>
    <row r="197" spans="1:23" ht="16.5" customHeight="1" x14ac:dyDescent="0.25">
      <c r="A197" s="329">
        <v>7</v>
      </c>
      <c r="B197" s="303" t="s">
        <v>207</v>
      </c>
      <c r="C197" s="415">
        <f t="shared" si="73"/>
        <v>22</v>
      </c>
      <c r="D197" s="368">
        <f t="shared" si="74"/>
        <v>0</v>
      </c>
      <c r="E197" s="368">
        <f t="shared" si="75"/>
        <v>32</v>
      </c>
      <c r="F197" s="368">
        <f t="shared" si="76"/>
        <v>16000</v>
      </c>
      <c r="G197" s="337">
        <f t="shared" si="70"/>
        <v>1.4545454545454546</v>
      </c>
      <c r="H197" s="419">
        <v>22</v>
      </c>
      <c r="I197" s="410"/>
      <c r="J197" s="410"/>
      <c r="K197" s="410"/>
      <c r="L197" s="333">
        <f t="shared" si="71"/>
        <v>0</v>
      </c>
      <c r="M197" s="415">
        <f t="shared" si="77"/>
        <v>0</v>
      </c>
      <c r="N197" s="410"/>
      <c r="O197" s="558">
        <v>32</v>
      </c>
      <c r="P197" s="558">
        <v>16000</v>
      </c>
      <c r="Q197" s="334" t="e">
        <f t="shared" si="72"/>
        <v>#DIV/0!</v>
      </c>
      <c r="R197" s="430"/>
      <c r="S197" s="430"/>
      <c r="T197" s="430"/>
      <c r="U197" s="430"/>
      <c r="V197" s="430"/>
      <c r="W197" s="430"/>
    </row>
    <row r="198" spans="1:23" ht="16.5" customHeight="1" x14ac:dyDescent="0.25">
      <c r="A198" s="329">
        <v>8</v>
      </c>
      <c r="B198" s="303" t="s">
        <v>153</v>
      </c>
      <c r="C198" s="415">
        <f t="shared" si="73"/>
        <v>1</v>
      </c>
      <c r="D198" s="368">
        <f t="shared" si="74"/>
        <v>0</v>
      </c>
      <c r="E198" s="368">
        <f t="shared" si="75"/>
        <v>0</v>
      </c>
      <c r="F198" s="368">
        <f t="shared" si="76"/>
        <v>0</v>
      </c>
      <c r="G198" s="337">
        <f t="shared" si="70"/>
        <v>0</v>
      </c>
      <c r="H198" s="419">
        <v>13</v>
      </c>
      <c r="I198" s="407"/>
      <c r="J198" s="407"/>
      <c r="K198" s="407"/>
      <c r="L198" s="333">
        <f t="shared" si="71"/>
        <v>0</v>
      </c>
      <c r="M198" s="415">
        <f t="shared" si="77"/>
        <v>-12</v>
      </c>
      <c r="N198" s="407"/>
      <c r="O198" s="558"/>
      <c r="P198" s="558"/>
      <c r="Q198" s="334">
        <f t="shared" si="72"/>
        <v>0</v>
      </c>
      <c r="R198" s="430"/>
      <c r="S198" s="430"/>
      <c r="T198" s="430"/>
      <c r="U198" s="430"/>
      <c r="V198" s="430"/>
      <c r="W198" s="430"/>
    </row>
    <row r="199" spans="1:23" ht="16.5" customHeight="1" x14ac:dyDescent="0.25">
      <c r="A199" s="329">
        <v>9</v>
      </c>
      <c r="B199" s="303" t="s">
        <v>154</v>
      </c>
      <c r="C199" s="415">
        <f t="shared" si="73"/>
        <v>11</v>
      </c>
      <c r="D199" s="368">
        <f t="shared" si="74"/>
        <v>0</v>
      </c>
      <c r="E199" s="368">
        <f t="shared" si="75"/>
        <v>0</v>
      </c>
      <c r="F199" s="368">
        <f t="shared" si="76"/>
        <v>28700</v>
      </c>
      <c r="G199" s="337">
        <f t="shared" si="70"/>
        <v>0</v>
      </c>
      <c r="H199" s="419">
        <v>11</v>
      </c>
      <c r="I199" s="410"/>
      <c r="J199" s="410"/>
      <c r="K199" s="410"/>
      <c r="L199" s="333">
        <f t="shared" si="71"/>
        <v>0</v>
      </c>
      <c r="M199" s="415">
        <v>0</v>
      </c>
      <c r="N199" s="410"/>
      <c r="O199" s="558"/>
      <c r="P199" s="558">
        <v>28700</v>
      </c>
      <c r="Q199" s="334" t="e">
        <f t="shared" si="72"/>
        <v>#DIV/0!</v>
      </c>
      <c r="R199" s="430"/>
      <c r="S199" s="430"/>
      <c r="T199" s="430"/>
      <c r="U199" s="430"/>
      <c r="V199" s="430"/>
      <c r="W199" s="430"/>
    </row>
    <row r="200" spans="1:23" ht="16.5" customHeight="1" x14ac:dyDescent="0.25">
      <c r="A200" s="329">
        <v>10</v>
      </c>
      <c r="B200" s="303" t="s">
        <v>15</v>
      </c>
      <c r="C200" s="415">
        <f t="shared" si="73"/>
        <v>1</v>
      </c>
      <c r="D200" s="368">
        <f t="shared" si="74"/>
        <v>0</v>
      </c>
      <c r="E200" s="368">
        <f t="shared" si="75"/>
        <v>6</v>
      </c>
      <c r="F200" s="368">
        <f t="shared" si="76"/>
        <v>7850</v>
      </c>
      <c r="G200" s="337">
        <f t="shared" si="70"/>
        <v>6</v>
      </c>
      <c r="H200" s="419">
        <v>7</v>
      </c>
      <c r="I200" s="407"/>
      <c r="J200" s="407"/>
      <c r="K200" s="407"/>
      <c r="L200" s="333">
        <f t="shared" si="71"/>
        <v>0</v>
      </c>
      <c r="M200" s="415">
        <f>M181-O181</f>
        <v>-6</v>
      </c>
      <c r="N200" s="407"/>
      <c r="O200" s="557">
        <v>6</v>
      </c>
      <c r="P200" s="557">
        <v>7850</v>
      </c>
      <c r="Q200" s="334">
        <f t="shared" si="72"/>
        <v>-1</v>
      </c>
      <c r="R200" s="430"/>
      <c r="S200" s="430"/>
      <c r="T200" s="430"/>
      <c r="U200" s="430"/>
      <c r="V200" s="430"/>
      <c r="W200" s="430"/>
    </row>
    <row r="201" spans="1:23" ht="16.5" customHeight="1" x14ac:dyDescent="0.25">
      <c r="A201" s="329">
        <v>11</v>
      </c>
      <c r="B201" s="303" t="s">
        <v>155</v>
      </c>
      <c r="C201" s="415">
        <f t="shared" si="73"/>
        <v>14</v>
      </c>
      <c r="D201" s="368">
        <f t="shared" si="74"/>
        <v>0</v>
      </c>
      <c r="E201" s="368">
        <f t="shared" si="75"/>
        <v>0</v>
      </c>
      <c r="F201" s="368">
        <f t="shared" si="76"/>
        <v>0</v>
      </c>
      <c r="G201" s="337">
        <f t="shared" si="70"/>
        <v>0</v>
      </c>
      <c r="H201" s="419">
        <v>17</v>
      </c>
      <c r="I201" s="410"/>
      <c r="J201" s="410"/>
      <c r="K201" s="410"/>
      <c r="L201" s="333">
        <f t="shared" si="71"/>
        <v>0</v>
      </c>
      <c r="M201" s="415">
        <f>M182-O182</f>
        <v>-3</v>
      </c>
      <c r="N201" s="410"/>
      <c r="O201" s="557"/>
      <c r="P201" s="557"/>
      <c r="Q201" s="334">
        <f t="shared" si="72"/>
        <v>0</v>
      </c>
      <c r="R201" s="430"/>
      <c r="S201" s="430"/>
      <c r="T201" s="430"/>
      <c r="U201" s="430"/>
      <c r="V201" s="430"/>
      <c r="W201" s="430"/>
    </row>
    <row r="202" spans="1:23" ht="16.5" customHeight="1" x14ac:dyDescent="0.25">
      <c r="A202" s="329">
        <v>12</v>
      </c>
      <c r="B202" s="303" t="s">
        <v>17</v>
      </c>
      <c r="C202" s="414">
        <f t="shared" si="73"/>
        <v>9</v>
      </c>
      <c r="D202" s="367">
        <f t="shared" si="74"/>
        <v>0</v>
      </c>
      <c r="E202" s="367">
        <f t="shared" si="75"/>
        <v>0</v>
      </c>
      <c r="F202" s="367">
        <f t="shared" si="76"/>
        <v>0</v>
      </c>
      <c r="G202" s="331">
        <f t="shared" si="70"/>
        <v>0</v>
      </c>
      <c r="H202" s="418">
        <v>9</v>
      </c>
      <c r="I202" s="409"/>
      <c r="J202" s="409"/>
      <c r="K202" s="409"/>
      <c r="L202" s="333">
        <f t="shared" si="71"/>
        <v>0</v>
      </c>
      <c r="M202" s="414">
        <f>M183-O183</f>
        <v>0</v>
      </c>
      <c r="N202" s="409"/>
      <c r="O202" s="553"/>
      <c r="P202" s="553"/>
      <c r="Q202" s="334" t="e">
        <f t="shared" si="72"/>
        <v>#DIV/0!</v>
      </c>
      <c r="R202" s="430"/>
      <c r="S202" s="430"/>
      <c r="T202" s="430"/>
      <c r="U202" s="430"/>
      <c r="V202" s="430"/>
      <c r="W202" s="430"/>
    </row>
    <row r="203" spans="1:23" ht="16.5" customHeight="1" thickBot="1" x14ac:dyDescent="0.3">
      <c r="A203" s="405">
        <v>13</v>
      </c>
      <c r="B203" s="404" t="s">
        <v>18</v>
      </c>
      <c r="C203" s="416">
        <f t="shared" si="73"/>
        <v>19</v>
      </c>
      <c r="D203" s="369">
        <f t="shared" si="74"/>
        <v>0</v>
      </c>
      <c r="E203" s="369">
        <f t="shared" si="75"/>
        <v>6</v>
      </c>
      <c r="F203" s="369">
        <f t="shared" si="76"/>
        <v>3100</v>
      </c>
      <c r="G203" s="341">
        <f t="shared" si="70"/>
        <v>0.31578947368421051</v>
      </c>
      <c r="H203" s="420">
        <v>14</v>
      </c>
      <c r="I203" s="411"/>
      <c r="J203" s="411"/>
      <c r="K203" s="411"/>
      <c r="L203" s="343">
        <f t="shared" si="71"/>
        <v>0</v>
      </c>
      <c r="M203" s="416">
        <v>5</v>
      </c>
      <c r="N203" s="411"/>
      <c r="O203" s="565">
        <v>6</v>
      </c>
      <c r="P203" s="565">
        <v>3100</v>
      </c>
      <c r="Q203" s="344">
        <f t="shared" si="72"/>
        <v>1.2</v>
      </c>
      <c r="R203" s="430"/>
      <c r="S203" s="430"/>
      <c r="T203" s="430"/>
      <c r="U203" s="430"/>
      <c r="V203" s="430"/>
      <c r="W203" s="430"/>
    </row>
    <row r="204" spans="1:23" ht="16.5" customHeight="1" x14ac:dyDescent="0.25">
      <c r="R204" s="430"/>
      <c r="S204" s="430"/>
      <c r="T204" s="430"/>
      <c r="U204" s="430"/>
      <c r="V204" s="430"/>
      <c r="W204" s="430"/>
    </row>
    <row r="205" spans="1:23" x14ac:dyDescent="0.25">
      <c r="R205" s="430"/>
      <c r="S205" s="430"/>
      <c r="T205" s="430"/>
      <c r="U205" s="430"/>
      <c r="V205" s="430"/>
      <c r="W205" s="430"/>
    </row>
    <row r="206" spans="1:23" x14ac:dyDescent="0.25">
      <c r="R206" s="430"/>
      <c r="S206" s="430"/>
      <c r="T206" s="430"/>
      <c r="U206" s="430"/>
      <c r="V206" s="430"/>
      <c r="W206" s="430"/>
    </row>
    <row r="207" spans="1:23" x14ac:dyDescent="0.25">
      <c r="R207" s="430"/>
      <c r="S207" s="430"/>
      <c r="T207" s="430"/>
      <c r="U207" s="430"/>
      <c r="V207" s="430"/>
      <c r="W207" s="430"/>
    </row>
    <row r="208" spans="1:23" ht="16.5" customHeight="1" x14ac:dyDescent="0.25">
      <c r="R208" s="430"/>
      <c r="S208" s="430"/>
      <c r="T208" s="430"/>
      <c r="U208" s="430"/>
      <c r="V208" s="430"/>
      <c r="W208" s="430"/>
    </row>
    <row r="209" spans="2:14" ht="15.75" customHeight="1" x14ac:dyDescent="0.25">
      <c r="B209" s="443" t="s">
        <v>567</v>
      </c>
      <c r="C209" s="444"/>
      <c r="D209" s="444"/>
      <c r="E209" s="444"/>
      <c r="F209" s="445" t="s">
        <v>568</v>
      </c>
      <c r="G209" s="445"/>
      <c r="H209" s="445"/>
      <c r="I209" s="446"/>
      <c r="J209" s="447"/>
      <c r="K209" s="447"/>
      <c r="L209" s="447"/>
      <c r="M209" s="445" t="s">
        <v>568</v>
      </c>
      <c r="N209" s="445"/>
    </row>
    <row r="210" spans="2:14" x14ac:dyDescent="0.25">
      <c r="B210" s="443"/>
      <c r="C210" s="444"/>
      <c r="D210" s="444"/>
      <c r="E210" s="444"/>
      <c r="F210" s="448" t="s">
        <v>569</v>
      </c>
      <c r="G210" s="445"/>
      <c r="H210" s="448"/>
      <c r="I210" s="446"/>
      <c r="M210" s="448" t="s">
        <v>570</v>
      </c>
      <c r="N210" s="448"/>
    </row>
    <row r="211" spans="2:14" x14ac:dyDescent="0.25">
      <c r="B211" s="443" t="s">
        <v>571</v>
      </c>
      <c r="C211" s="444"/>
      <c r="D211" s="444"/>
      <c r="E211" s="444"/>
      <c r="F211" s="445" t="s">
        <v>568</v>
      </c>
      <c r="G211" s="445"/>
      <c r="H211" s="445"/>
      <c r="I211" s="446"/>
      <c r="M211" s="445" t="s">
        <v>568</v>
      </c>
      <c r="N211" s="445"/>
    </row>
    <row r="212" spans="2:14" ht="16.5" customHeight="1" x14ac:dyDescent="0.25">
      <c r="B212" s="443"/>
      <c r="C212" s="444"/>
      <c r="D212" s="444"/>
      <c r="E212" s="444"/>
      <c r="F212" s="448" t="s">
        <v>569</v>
      </c>
      <c r="G212" s="445"/>
      <c r="H212" s="448"/>
      <c r="I212" s="446"/>
      <c r="M212" s="448" t="s">
        <v>570</v>
      </c>
      <c r="N212" s="448"/>
    </row>
    <row r="213" spans="2:14" x14ac:dyDescent="0.25">
      <c r="B213" s="443" t="s">
        <v>572</v>
      </c>
      <c r="C213" s="444"/>
      <c r="D213" s="444"/>
      <c r="E213" s="444"/>
      <c r="F213" s="445" t="s">
        <v>568</v>
      </c>
      <c r="G213" s="445"/>
      <c r="H213" s="445"/>
      <c r="I213" s="446"/>
      <c r="M213" s="445" t="s">
        <v>568</v>
      </c>
      <c r="N213" s="445"/>
    </row>
    <row r="214" spans="2:14" x14ac:dyDescent="0.25">
      <c r="B214" s="443"/>
      <c r="C214" s="444"/>
      <c r="D214" s="444"/>
      <c r="E214" s="444"/>
      <c r="F214" s="448" t="s">
        <v>569</v>
      </c>
      <c r="G214" s="445"/>
      <c r="H214" s="448"/>
      <c r="I214" s="446"/>
      <c r="M214" s="448" t="s">
        <v>570</v>
      </c>
      <c r="N214" s="448"/>
    </row>
    <row r="215" spans="2:14" x14ac:dyDescent="0.25">
      <c r="B215" s="443" t="s">
        <v>573</v>
      </c>
      <c r="C215" s="444"/>
      <c r="D215" s="444"/>
      <c r="E215" s="444"/>
      <c r="F215" s="448"/>
      <c r="G215" s="445"/>
      <c r="H215" s="448"/>
      <c r="I215" s="446"/>
      <c r="M215" s="448"/>
      <c r="N215" s="445"/>
    </row>
    <row r="216" spans="2:14" x14ac:dyDescent="0.25">
      <c r="B216" s="443"/>
      <c r="C216" s="444"/>
      <c r="D216" s="444"/>
      <c r="E216" s="444"/>
      <c r="F216" s="445" t="s">
        <v>568</v>
      </c>
      <c r="G216" s="445"/>
      <c r="H216" s="445"/>
      <c r="I216" s="446"/>
      <c r="M216" s="445" t="s">
        <v>568</v>
      </c>
      <c r="N216" s="448"/>
    </row>
    <row r="217" spans="2:14" x14ac:dyDescent="0.25">
      <c r="B217" s="443"/>
      <c r="C217" s="444"/>
      <c r="D217" s="444"/>
      <c r="E217" s="444"/>
      <c r="F217" s="448" t="s">
        <v>569</v>
      </c>
      <c r="G217" s="445"/>
      <c r="H217" s="448"/>
      <c r="I217" s="446"/>
      <c r="M217" s="448" t="s">
        <v>570</v>
      </c>
      <c r="N217" s="445"/>
    </row>
    <row r="218" spans="2:14" x14ac:dyDescent="0.25">
      <c r="B218" s="443"/>
      <c r="C218" s="444"/>
      <c r="D218" s="444"/>
      <c r="E218" s="444"/>
      <c r="F218" s="445"/>
      <c r="G218" s="445"/>
      <c r="H218" s="445"/>
      <c r="I218" s="446"/>
      <c r="M218" s="445"/>
      <c r="N218" s="445"/>
    </row>
    <row r="219" spans="2:14" ht="15" customHeight="1" x14ac:dyDescent="0.25">
      <c r="B219" s="718" t="s">
        <v>574</v>
      </c>
      <c r="C219" s="718"/>
      <c r="D219" s="444"/>
      <c r="E219" s="444"/>
      <c r="F219" s="445"/>
      <c r="G219" s="445"/>
      <c r="H219" s="445"/>
      <c r="I219" s="446"/>
      <c r="M219" s="445"/>
      <c r="N219" s="445"/>
    </row>
    <row r="220" spans="2:14" x14ac:dyDescent="0.25">
      <c r="B220" s="718"/>
      <c r="C220" s="718"/>
      <c r="D220" s="444"/>
      <c r="E220" s="444"/>
      <c r="F220" s="445" t="s">
        <v>568</v>
      </c>
      <c r="G220" s="445"/>
      <c r="H220" s="445"/>
      <c r="I220" s="446"/>
      <c r="M220" s="445" t="s">
        <v>568</v>
      </c>
      <c r="N220" s="448"/>
    </row>
    <row r="221" spans="2:14" x14ac:dyDescent="0.25">
      <c r="B221" s="443"/>
      <c r="C221" s="444"/>
      <c r="D221" s="444"/>
      <c r="E221" s="444"/>
      <c r="F221" s="448" t="s">
        <v>569</v>
      </c>
      <c r="G221" s="445"/>
      <c r="H221" s="448"/>
      <c r="I221" s="446"/>
      <c r="M221" s="448" t="s">
        <v>570</v>
      </c>
      <c r="N221" s="445"/>
    </row>
    <row r="222" spans="2:14" x14ac:dyDescent="0.25">
      <c r="B222" s="443"/>
      <c r="C222" s="444"/>
      <c r="D222" s="444"/>
      <c r="E222" s="444"/>
      <c r="F222" s="445"/>
      <c r="G222" s="445"/>
      <c r="H222" s="445"/>
      <c r="I222" s="446"/>
      <c r="M222" s="445"/>
      <c r="N222" s="445"/>
    </row>
    <row r="223" spans="2:14" ht="15" customHeight="1" x14ac:dyDescent="0.25">
      <c r="B223" s="718" t="s">
        <v>575</v>
      </c>
      <c r="C223" s="718"/>
      <c r="D223" s="444"/>
      <c r="E223" s="444"/>
      <c r="F223" s="445"/>
      <c r="G223" s="445"/>
      <c r="H223" s="445"/>
      <c r="I223" s="446"/>
      <c r="M223" s="445"/>
      <c r="N223" s="445"/>
    </row>
    <row r="224" spans="2:14" ht="36" customHeight="1" x14ac:dyDescent="0.25">
      <c r="B224" s="718"/>
      <c r="C224" s="718"/>
      <c r="D224" s="444"/>
      <c r="E224" s="444"/>
      <c r="F224" s="445" t="s">
        <v>568</v>
      </c>
      <c r="G224" s="445"/>
      <c r="H224" s="445"/>
      <c r="I224" s="446"/>
      <c r="M224" s="445" t="s">
        <v>568</v>
      </c>
      <c r="N224" s="448"/>
    </row>
    <row r="225" spans="2:14" x14ac:dyDescent="0.25">
      <c r="B225" s="492"/>
      <c r="C225" s="444"/>
      <c r="D225" s="444"/>
      <c r="E225" s="444"/>
      <c r="F225" s="448" t="s">
        <v>569</v>
      </c>
      <c r="G225" s="445"/>
      <c r="H225" s="448"/>
      <c r="I225" s="446"/>
      <c r="M225" s="448" t="s">
        <v>570</v>
      </c>
      <c r="N225" s="445"/>
    </row>
    <row r="226" spans="2:14" x14ac:dyDescent="0.25">
      <c r="B226" s="449"/>
      <c r="C226" s="444"/>
      <c r="D226" s="444"/>
      <c r="E226" s="444"/>
      <c r="F226" s="445"/>
      <c r="G226" s="445"/>
      <c r="H226" s="445"/>
      <c r="I226" s="446"/>
      <c r="M226" s="445"/>
      <c r="N226" s="445"/>
    </row>
    <row r="227" spans="2:14" x14ac:dyDescent="0.25">
      <c r="B227" s="718" t="s">
        <v>576</v>
      </c>
      <c r="C227" s="718"/>
      <c r="D227" s="444"/>
      <c r="E227" s="444"/>
      <c r="F227" s="445" t="s">
        <v>568</v>
      </c>
      <c r="G227" s="445"/>
      <c r="H227" s="445"/>
      <c r="I227" s="446"/>
      <c r="M227" s="445" t="s">
        <v>568</v>
      </c>
      <c r="N227" s="448"/>
    </row>
    <row r="228" spans="2:14" x14ac:dyDescent="0.25">
      <c r="B228" s="718"/>
      <c r="C228" s="718"/>
      <c r="D228" s="444"/>
      <c r="E228" s="444"/>
      <c r="F228" s="448" t="s">
        <v>569</v>
      </c>
      <c r="G228" s="445"/>
      <c r="H228" s="448"/>
      <c r="I228" s="446"/>
      <c r="M228" s="448" t="s">
        <v>570</v>
      </c>
    </row>
  </sheetData>
  <mergeCells count="157">
    <mergeCell ref="A169:B169"/>
    <mergeCell ref="A149:B149"/>
    <mergeCell ref="A165:A168"/>
    <mergeCell ref="B165:B168"/>
    <mergeCell ref="C165:G166"/>
    <mergeCell ref="H165:Q165"/>
    <mergeCell ref="H166:L166"/>
    <mergeCell ref="M166:Q166"/>
    <mergeCell ref="C167:D167"/>
    <mergeCell ref="E167:F167"/>
    <mergeCell ref="G167:G168"/>
    <mergeCell ref="H167:I167"/>
    <mergeCell ref="J167:K167"/>
    <mergeCell ref="L167:L168"/>
    <mergeCell ref="M167:N167"/>
    <mergeCell ref="O167:P167"/>
    <mergeCell ref="A129:B129"/>
    <mergeCell ref="A145:A148"/>
    <mergeCell ref="B145:B148"/>
    <mergeCell ref="C145:G146"/>
    <mergeCell ref="H145:Q145"/>
    <mergeCell ref="H146:L146"/>
    <mergeCell ref="M146:Q146"/>
    <mergeCell ref="C147:D147"/>
    <mergeCell ref="E147:F147"/>
    <mergeCell ref="G147:G148"/>
    <mergeCell ref="H147:I147"/>
    <mergeCell ref="J147:K147"/>
    <mergeCell ref="L147:L148"/>
    <mergeCell ref="M147:N147"/>
    <mergeCell ref="O147:P147"/>
    <mergeCell ref="A125:A128"/>
    <mergeCell ref="B125:B128"/>
    <mergeCell ref="C125:G126"/>
    <mergeCell ref="H125:Q125"/>
    <mergeCell ref="H126:L126"/>
    <mergeCell ref="M126:Q126"/>
    <mergeCell ref="C127:D127"/>
    <mergeCell ref="E127:F127"/>
    <mergeCell ref="G127:G128"/>
    <mergeCell ref="H127:I127"/>
    <mergeCell ref="J127:K127"/>
    <mergeCell ref="L127:L128"/>
    <mergeCell ref="M127:N127"/>
    <mergeCell ref="O127:P127"/>
    <mergeCell ref="A109:B109"/>
    <mergeCell ref="A105:A108"/>
    <mergeCell ref="B105:B108"/>
    <mergeCell ref="C105:G106"/>
    <mergeCell ref="H105:Q105"/>
    <mergeCell ref="H106:L106"/>
    <mergeCell ref="M106:Q106"/>
    <mergeCell ref="C107:D107"/>
    <mergeCell ref="E107:F107"/>
    <mergeCell ref="G107:G108"/>
    <mergeCell ref="H107:I107"/>
    <mergeCell ref="J107:K107"/>
    <mergeCell ref="L107:L108"/>
    <mergeCell ref="M107:N107"/>
    <mergeCell ref="O107:P107"/>
    <mergeCell ref="B219:C220"/>
    <mergeCell ref="B223:C224"/>
    <mergeCell ref="B227:C228"/>
    <mergeCell ref="O47:P47"/>
    <mergeCell ref="M27:N27"/>
    <mergeCell ref="H45:Q45"/>
    <mergeCell ref="H46:L46"/>
    <mergeCell ref="M46:Q46"/>
    <mergeCell ref="H47:I47"/>
    <mergeCell ref="J47:K47"/>
    <mergeCell ref="L47:L48"/>
    <mergeCell ref="M47:N47"/>
    <mergeCell ref="H27:I27"/>
    <mergeCell ref="J27:K27"/>
    <mergeCell ref="A49:B49"/>
    <mergeCell ref="A45:A48"/>
    <mergeCell ref="B45:B48"/>
    <mergeCell ref="C45:G46"/>
    <mergeCell ref="C47:D47"/>
    <mergeCell ref="E47:F47"/>
    <mergeCell ref="G47:G48"/>
    <mergeCell ref="A69:B69"/>
    <mergeCell ref="A65:A68"/>
    <mergeCell ref="B65:B68"/>
    <mergeCell ref="O1:Q1"/>
    <mergeCell ref="A2:Q2"/>
    <mergeCell ref="A3:Q3"/>
    <mergeCell ref="A25:A28"/>
    <mergeCell ref="B25:B28"/>
    <mergeCell ref="C25:G26"/>
    <mergeCell ref="H25:Q25"/>
    <mergeCell ref="H26:L26"/>
    <mergeCell ref="M26:Q26"/>
    <mergeCell ref="C27:D27"/>
    <mergeCell ref="O27:P27"/>
    <mergeCell ref="L27:L28"/>
    <mergeCell ref="A9:B9"/>
    <mergeCell ref="E27:F27"/>
    <mergeCell ref="G27:G28"/>
    <mergeCell ref="U37:W37"/>
    <mergeCell ref="A5:A8"/>
    <mergeCell ref="B5:B8"/>
    <mergeCell ref="C5:G6"/>
    <mergeCell ref="H5:Q5"/>
    <mergeCell ref="H6:L6"/>
    <mergeCell ref="M6:Q6"/>
    <mergeCell ref="C7:D7"/>
    <mergeCell ref="E7:F7"/>
    <mergeCell ref="G7:G8"/>
    <mergeCell ref="H7:I7"/>
    <mergeCell ref="J7:K7"/>
    <mergeCell ref="L7:L8"/>
    <mergeCell ref="M7:N7"/>
    <mergeCell ref="O7:P7"/>
    <mergeCell ref="A29:B29"/>
    <mergeCell ref="C65:G66"/>
    <mergeCell ref="H65:Q65"/>
    <mergeCell ref="H66:L66"/>
    <mergeCell ref="M66:Q66"/>
    <mergeCell ref="C67:D67"/>
    <mergeCell ref="E67:F67"/>
    <mergeCell ref="G67:G68"/>
    <mergeCell ref="H67:I67"/>
    <mergeCell ref="J67:K67"/>
    <mergeCell ref="L67:L68"/>
    <mergeCell ref="M67:N67"/>
    <mergeCell ref="O67:P67"/>
    <mergeCell ref="A89:B89"/>
    <mergeCell ref="A85:A88"/>
    <mergeCell ref="B85:B88"/>
    <mergeCell ref="C85:G86"/>
    <mergeCell ref="H85:Q85"/>
    <mergeCell ref="H86:L86"/>
    <mergeCell ref="M86:Q86"/>
    <mergeCell ref="C87:D87"/>
    <mergeCell ref="E87:F87"/>
    <mergeCell ref="G87:G88"/>
    <mergeCell ref="H87:I87"/>
    <mergeCell ref="J87:K87"/>
    <mergeCell ref="L87:L88"/>
    <mergeCell ref="M87:N87"/>
    <mergeCell ref="O87:P87"/>
    <mergeCell ref="A190:B190"/>
    <mergeCell ref="A186:A189"/>
    <mergeCell ref="B186:B189"/>
    <mergeCell ref="C186:G187"/>
    <mergeCell ref="H186:Q186"/>
    <mergeCell ref="H187:L187"/>
    <mergeCell ref="M187:Q187"/>
    <mergeCell ref="C188:D188"/>
    <mergeCell ref="E188:F188"/>
    <mergeCell ref="G188:G189"/>
    <mergeCell ref="H188:I188"/>
    <mergeCell ref="J188:K188"/>
    <mergeCell ref="L188:L189"/>
    <mergeCell ref="M188:N188"/>
    <mergeCell ref="O188:P188"/>
  </mergeCells>
  <pageMargins left="0.7" right="0.7" top="0.75" bottom="0.75" header="0.3" footer="0.3"/>
  <pageSetup paperSize="9" scale="41"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view="pageBreakPreview" zoomScale="60" zoomScaleNormal="100" workbookViewId="0">
      <selection sqref="A1:K1"/>
    </sheetView>
  </sheetViews>
  <sheetFormatPr defaultRowHeight="18" x14ac:dyDescent="0.25"/>
  <cols>
    <col min="1" max="1" width="5.28515625" style="176" customWidth="1"/>
    <col min="2" max="2" width="34.140625" style="176" customWidth="1"/>
    <col min="3" max="11" width="16.85546875" style="176" customWidth="1"/>
    <col min="12" max="16384" width="9.140625" style="176"/>
  </cols>
  <sheetData>
    <row r="1" spans="1:11" ht="49.5" customHeight="1" x14ac:dyDescent="0.25">
      <c r="A1" s="745" t="s">
        <v>164</v>
      </c>
      <c r="B1" s="745"/>
      <c r="C1" s="745"/>
      <c r="D1" s="745"/>
      <c r="E1" s="745"/>
      <c r="F1" s="745"/>
      <c r="G1" s="745"/>
      <c r="H1" s="745"/>
      <c r="I1" s="745"/>
      <c r="J1" s="745"/>
      <c r="K1" s="745"/>
    </row>
    <row r="2" spans="1:11" ht="20.25" x14ac:dyDescent="0.25">
      <c r="A2" s="745" t="s">
        <v>19</v>
      </c>
      <c r="B2" s="745"/>
      <c r="C2" s="745"/>
      <c r="D2" s="745"/>
      <c r="E2" s="745"/>
      <c r="F2" s="745"/>
      <c r="G2" s="745"/>
      <c r="H2" s="745"/>
      <c r="I2" s="745"/>
      <c r="J2" s="745"/>
      <c r="K2" s="745"/>
    </row>
    <row r="3" spans="1:11" ht="21" thickBot="1" x14ac:dyDescent="0.35">
      <c r="A3" s="221"/>
      <c r="B3" s="189" t="s">
        <v>114</v>
      </c>
      <c r="C3" s="221"/>
      <c r="D3" s="221"/>
      <c r="E3" s="221"/>
      <c r="F3" s="221"/>
      <c r="G3" s="221"/>
      <c r="H3" s="221"/>
      <c r="I3" s="221"/>
      <c r="J3" s="221"/>
      <c r="K3" s="222" t="s">
        <v>159</v>
      </c>
    </row>
    <row r="4" spans="1:11" ht="18.75" x14ac:dyDescent="0.25">
      <c r="A4" s="735" t="s">
        <v>138</v>
      </c>
      <c r="B4" s="737" t="s">
        <v>139</v>
      </c>
      <c r="C4" s="739" t="s">
        <v>165</v>
      </c>
      <c r="D4" s="740"/>
      <c r="E4" s="741"/>
      <c r="F4" s="739" t="s">
        <v>166</v>
      </c>
      <c r="G4" s="740"/>
      <c r="H4" s="741"/>
      <c r="I4" s="742" t="s">
        <v>142</v>
      </c>
      <c r="J4" s="743"/>
      <c r="K4" s="744"/>
    </row>
    <row r="5" spans="1:11" ht="18.75" thickBot="1" x14ac:dyDescent="0.3">
      <c r="A5" s="736"/>
      <c r="B5" s="738"/>
      <c r="C5" s="178" t="s">
        <v>143</v>
      </c>
      <c r="D5" s="178" t="s">
        <v>144</v>
      </c>
      <c r="E5" s="179" t="s">
        <v>145</v>
      </c>
      <c r="F5" s="178" t="s">
        <v>143</v>
      </c>
      <c r="G5" s="178" t="s">
        <v>144</v>
      </c>
      <c r="H5" s="179" t="s">
        <v>145</v>
      </c>
      <c r="I5" s="178" t="s">
        <v>143</v>
      </c>
      <c r="J5" s="178" t="s">
        <v>144</v>
      </c>
      <c r="K5" s="179" t="s">
        <v>145</v>
      </c>
    </row>
    <row r="6" spans="1:11" ht="19.5" thickBot="1" x14ac:dyDescent="0.3">
      <c r="A6" s="191" t="s">
        <v>160</v>
      </c>
      <c r="B6" s="192" t="s">
        <v>161</v>
      </c>
      <c r="C6" s="194">
        <v>1</v>
      </c>
      <c r="D6" s="194">
        <v>2</v>
      </c>
      <c r="E6" s="192">
        <v>3</v>
      </c>
      <c r="F6" s="191">
        <v>4</v>
      </c>
      <c r="G6" s="194">
        <v>5</v>
      </c>
      <c r="H6" s="192">
        <v>6</v>
      </c>
      <c r="I6" s="191">
        <v>7</v>
      </c>
      <c r="J6" s="194">
        <v>8</v>
      </c>
      <c r="K6" s="192">
        <v>9</v>
      </c>
    </row>
    <row r="7" spans="1:11" ht="20.25" x14ac:dyDescent="0.25">
      <c r="A7" s="184">
        <v>1</v>
      </c>
      <c r="B7" s="185" t="s">
        <v>162</v>
      </c>
      <c r="C7" s="199">
        <f>+C26+C45+C64</f>
        <v>1479</v>
      </c>
      <c r="D7" s="197">
        <f>+D26+D45+D64</f>
        <v>100</v>
      </c>
      <c r="E7" s="198">
        <f t="shared" ref="E7:E12" si="0">+C7-D7</f>
        <v>1379</v>
      </c>
      <c r="F7" s="199">
        <f>+F26+F45+F64</f>
        <v>1479</v>
      </c>
      <c r="G7" s="197">
        <f>+G26+G45+G64</f>
        <v>372.44657999999998</v>
      </c>
      <c r="H7" s="198">
        <f>+F7-G7</f>
        <v>1106.55342</v>
      </c>
      <c r="I7" s="223">
        <f>+C7+F7</f>
        <v>2958</v>
      </c>
      <c r="J7" s="197">
        <f>+D7+G7</f>
        <v>472.44657999999998</v>
      </c>
      <c r="K7" s="198">
        <f>+I7-J7</f>
        <v>2485.5534200000002</v>
      </c>
    </row>
    <row r="8" spans="1:11" ht="20.25" x14ac:dyDescent="0.25">
      <c r="A8" s="184">
        <f t="shared" ref="A8:A19" si="1">+A7+1</f>
        <v>2</v>
      </c>
      <c r="B8" s="185" t="s">
        <v>147</v>
      </c>
      <c r="C8" s="199">
        <f t="shared" ref="C8:D19" si="2">+C27+C46+C65</f>
        <v>1124.5</v>
      </c>
      <c r="D8" s="197">
        <f t="shared" si="2"/>
        <v>807</v>
      </c>
      <c r="E8" s="198">
        <f t="shared" si="0"/>
        <v>317.5</v>
      </c>
      <c r="F8" s="199">
        <f t="shared" ref="F8:G19" si="3">+F27+F46+F65</f>
        <v>1124.5</v>
      </c>
      <c r="G8" s="197">
        <f t="shared" si="3"/>
        <v>477</v>
      </c>
      <c r="H8" s="198">
        <f t="shared" ref="H8:H19" si="4">+F8-G8</f>
        <v>647.5</v>
      </c>
      <c r="I8" s="223">
        <f t="shared" ref="I8:J19" si="5">+C8+F8</f>
        <v>2249</v>
      </c>
      <c r="J8" s="197">
        <f t="shared" si="5"/>
        <v>1284</v>
      </c>
      <c r="K8" s="198">
        <f t="shared" ref="K8:K19" si="6">+I8-J8</f>
        <v>965</v>
      </c>
    </row>
    <row r="9" spans="1:11" ht="20.25" x14ac:dyDescent="0.25">
      <c r="A9" s="184">
        <f t="shared" si="1"/>
        <v>3</v>
      </c>
      <c r="B9" s="185" t="s">
        <v>148</v>
      </c>
      <c r="C9" s="199">
        <f t="shared" si="2"/>
        <v>1207.5</v>
      </c>
      <c r="D9" s="197">
        <f t="shared" si="2"/>
        <v>650</v>
      </c>
      <c r="E9" s="198">
        <f t="shared" si="0"/>
        <v>557.5</v>
      </c>
      <c r="F9" s="199">
        <f t="shared" si="3"/>
        <v>1207.5</v>
      </c>
      <c r="G9" s="197">
        <f t="shared" si="3"/>
        <v>637.66999999999996</v>
      </c>
      <c r="H9" s="198">
        <f t="shared" si="4"/>
        <v>569.83000000000004</v>
      </c>
      <c r="I9" s="223">
        <f t="shared" si="5"/>
        <v>2415</v>
      </c>
      <c r="J9" s="197">
        <f t="shared" si="5"/>
        <v>1287.67</v>
      </c>
      <c r="K9" s="198">
        <f t="shared" si="6"/>
        <v>1127.33</v>
      </c>
    </row>
    <row r="10" spans="1:11" ht="20.25" x14ac:dyDescent="0.25">
      <c r="A10" s="184">
        <f t="shared" si="1"/>
        <v>4</v>
      </c>
      <c r="B10" s="185" t="s">
        <v>149</v>
      </c>
      <c r="C10" s="199">
        <f t="shared" si="2"/>
        <v>1226</v>
      </c>
      <c r="D10" s="197">
        <f t="shared" si="2"/>
        <v>617</v>
      </c>
      <c r="E10" s="198">
        <f t="shared" si="0"/>
        <v>609</v>
      </c>
      <c r="F10" s="199">
        <f t="shared" si="3"/>
        <v>1226</v>
      </c>
      <c r="G10" s="197">
        <f t="shared" si="3"/>
        <v>717</v>
      </c>
      <c r="H10" s="198">
        <f t="shared" si="4"/>
        <v>509</v>
      </c>
      <c r="I10" s="223">
        <f t="shared" si="5"/>
        <v>2452</v>
      </c>
      <c r="J10" s="197">
        <f t="shared" si="5"/>
        <v>1334</v>
      </c>
      <c r="K10" s="198">
        <f t="shared" si="6"/>
        <v>1118</v>
      </c>
    </row>
    <row r="11" spans="1:11" ht="20.25" x14ac:dyDescent="0.25">
      <c r="A11" s="184">
        <f t="shared" si="1"/>
        <v>5</v>
      </c>
      <c r="B11" s="185" t="s">
        <v>150</v>
      </c>
      <c r="C11" s="199">
        <f t="shared" si="2"/>
        <v>980.5</v>
      </c>
      <c r="D11" s="197">
        <f t="shared" si="2"/>
        <v>202</v>
      </c>
      <c r="E11" s="198">
        <f t="shared" si="0"/>
        <v>778.5</v>
      </c>
      <c r="F11" s="199">
        <f t="shared" si="3"/>
        <v>980.5</v>
      </c>
      <c r="G11" s="197">
        <f t="shared" si="3"/>
        <v>82</v>
      </c>
      <c r="H11" s="198">
        <f t="shared" si="4"/>
        <v>898.5</v>
      </c>
      <c r="I11" s="223">
        <f t="shared" si="5"/>
        <v>1961</v>
      </c>
      <c r="J11" s="197">
        <f t="shared" si="5"/>
        <v>284</v>
      </c>
      <c r="K11" s="198">
        <f t="shared" si="6"/>
        <v>1677</v>
      </c>
    </row>
    <row r="12" spans="1:11" ht="20.25" x14ac:dyDescent="0.25">
      <c r="A12" s="184">
        <f t="shared" si="1"/>
        <v>6</v>
      </c>
      <c r="B12" s="185" t="s">
        <v>151</v>
      </c>
      <c r="C12" s="199">
        <f t="shared" si="2"/>
        <v>1226</v>
      </c>
      <c r="D12" s="197">
        <f t="shared" si="2"/>
        <v>883</v>
      </c>
      <c r="E12" s="198">
        <f t="shared" si="0"/>
        <v>343</v>
      </c>
      <c r="F12" s="199">
        <f t="shared" si="3"/>
        <v>1226</v>
      </c>
      <c r="G12" s="197">
        <f t="shared" si="3"/>
        <v>860</v>
      </c>
      <c r="H12" s="198">
        <f t="shared" si="4"/>
        <v>366</v>
      </c>
      <c r="I12" s="223">
        <f t="shared" si="5"/>
        <v>2452</v>
      </c>
      <c r="J12" s="197">
        <f t="shared" si="5"/>
        <v>1743</v>
      </c>
      <c r="K12" s="198">
        <f t="shared" si="6"/>
        <v>709</v>
      </c>
    </row>
    <row r="13" spans="1:11" ht="20.25" x14ac:dyDescent="0.25">
      <c r="A13" s="184">
        <f t="shared" si="1"/>
        <v>7</v>
      </c>
      <c r="B13" s="185" t="s">
        <v>152</v>
      </c>
      <c r="C13" s="199">
        <f t="shared" si="2"/>
        <v>1277</v>
      </c>
      <c r="D13" s="197">
        <f t="shared" si="2"/>
        <v>768</v>
      </c>
      <c r="E13" s="198">
        <f t="shared" ref="E13:E19" si="7">+C13-D13</f>
        <v>509</v>
      </c>
      <c r="F13" s="199">
        <f t="shared" si="3"/>
        <v>1277</v>
      </c>
      <c r="G13" s="197">
        <f t="shared" si="3"/>
        <v>588</v>
      </c>
      <c r="H13" s="198">
        <f t="shared" si="4"/>
        <v>689</v>
      </c>
      <c r="I13" s="223">
        <f t="shared" si="5"/>
        <v>2554</v>
      </c>
      <c r="J13" s="197">
        <f t="shared" si="5"/>
        <v>1356</v>
      </c>
      <c r="K13" s="198">
        <f t="shared" si="6"/>
        <v>1198</v>
      </c>
    </row>
    <row r="14" spans="1:11" ht="20.25" x14ac:dyDescent="0.25">
      <c r="A14" s="184">
        <f t="shared" si="1"/>
        <v>8</v>
      </c>
      <c r="B14" s="185" t="s">
        <v>167</v>
      </c>
      <c r="C14" s="199">
        <f t="shared" si="2"/>
        <v>1122</v>
      </c>
      <c r="D14" s="197">
        <f t="shared" si="2"/>
        <v>762</v>
      </c>
      <c r="E14" s="198">
        <f t="shared" si="7"/>
        <v>360</v>
      </c>
      <c r="F14" s="199">
        <f t="shared" si="3"/>
        <v>1122</v>
      </c>
      <c r="G14" s="197">
        <f t="shared" si="3"/>
        <v>762</v>
      </c>
      <c r="H14" s="198">
        <f t="shared" si="4"/>
        <v>360</v>
      </c>
      <c r="I14" s="223">
        <f t="shared" si="5"/>
        <v>2244</v>
      </c>
      <c r="J14" s="197">
        <f t="shared" si="5"/>
        <v>1524</v>
      </c>
      <c r="K14" s="198">
        <f t="shared" si="6"/>
        <v>720</v>
      </c>
    </row>
    <row r="15" spans="1:11" ht="20.25" x14ac:dyDescent="0.25">
      <c r="A15" s="184">
        <f t="shared" si="1"/>
        <v>9</v>
      </c>
      <c r="B15" s="185" t="s">
        <v>154</v>
      </c>
      <c r="C15" s="199">
        <f t="shared" si="2"/>
        <v>684</v>
      </c>
      <c r="D15" s="197">
        <f t="shared" si="2"/>
        <v>55</v>
      </c>
      <c r="E15" s="198">
        <f t="shared" si="7"/>
        <v>629</v>
      </c>
      <c r="F15" s="199">
        <f t="shared" si="3"/>
        <v>684</v>
      </c>
      <c r="G15" s="197">
        <f t="shared" si="3"/>
        <v>55</v>
      </c>
      <c r="H15" s="198">
        <f t="shared" si="4"/>
        <v>629</v>
      </c>
      <c r="I15" s="223">
        <f t="shared" si="5"/>
        <v>1368</v>
      </c>
      <c r="J15" s="197">
        <f t="shared" si="5"/>
        <v>110</v>
      </c>
      <c r="K15" s="198">
        <f t="shared" si="6"/>
        <v>1258</v>
      </c>
    </row>
    <row r="16" spans="1:11" ht="20.25" x14ac:dyDescent="0.25">
      <c r="A16" s="184">
        <f t="shared" si="1"/>
        <v>10</v>
      </c>
      <c r="B16" s="185" t="s">
        <v>15</v>
      </c>
      <c r="C16" s="199">
        <f t="shared" si="2"/>
        <v>768</v>
      </c>
      <c r="D16" s="197">
        <f t="shared" si="2"/>
        <v>488.875</v>
      </c>
      <c r="E16" s="198">
        <f t="shared" si="7"/>
        <v>279.125</v>
      </c>
      <c r="F16" s="199">
        <f t="shared" si="3"/>
        <v>768</v>
      </c>
      <c r="G16" s="197">
        <f t="shared" si="3"/>
        <v>200</v>
      </c>
      <c r="H16" s="198">
        <f t="shared" si="4"/>
        <v>568</v>
      </c>
      <c r="I16" s="223">
        <f t="shared" si="5"/>
        <v>1536</v>
      </c>
      <c r="J16" s="197">
        <f t="shared" si="5"/>
        <v>688.875</v>
      </c>
      <c r="K16" s="198">
        <f t="shared" si="6"/>
        <v>847.125</v>
      </c>
    </row>
    <row r="17" spans="1:13" ht="20.25" x14ac:dyDescent="0.25">
      <c r="A17" s="184">
        <f t="shared" si="1"/>
        <v>11</v>
      </c>
      <c r="B17" s="185" t="s">
        <v>155</v>
      </c>
      <c r="C17" s="199">
        <f t="shared" si="2"/>
        <v>889</v>
      </c>
      <c r="D17" s="197">
        <f t="shared" si="2"/>
        <v>486</v>
      </c>
      <c r="E17" s="198">
        <f t="shared" si="7"/>
        <v>403</v>
      </c>
      <c r="F17" s="199">
        <f t="shared" si="3"/>
        <v>889</v>
      </c>
      <c r="G17" s="197">
        <f t="shared" si="3"/>
        <v>186</v>
      </c>
      <c r="H17" s="198">
        <f t="shared" si="4"/>
        <v>703</v>
      </c>
      <c r="I17" s="223">
        <f t="shared" si="5"/>
        <v>1778</v>
      </c>
      <c r="J17" s="197">
        <f t="shared" si="5"/>
        <v>672</v>
      </c>
      <c r="K17" s="198">
        <f t="shared" si="6"/>
        <v>1106</v>
      </c>
    </row>
    <row r="18" spans="1:13" ht="20.25" x14ac:dyDescent="0.25">
      <c r="A18" s="184">
        <f t="shared" si="1"/>
        <v>12</v>
      </c>
      <c r="B18" s="185" t="s">
        <v>156</v>
      </c>
      <c r="C18" s="199">
        <f t="shared" si="2"/>
        <v>740</v>
      </c>
      <c r="D18" s="197">
        <f t="shared" si="2"/>
        <v>596.20000000000005</v>
      </c>
      <c r="E18" s="198">
        <f t="shared" si="7"/>
        <v>143.79999999999995</v>
      </c>
      <c r="F18" s="199">
        <f t="shared" si="3"/>
        <v>740</v>
      </c>
      <c r="G18" s="197">
        <f t="shared" si="3"/>
        <v>388.7</v>
      </c>
      <c r="H18" s="198">
        <f t="shared" si="4"/>
        <v>351.3</v>
      </c>
      <c r="I18" s="223">
        <f t="shared" si="5"/>
        <v>1480</v>
      </c>
      <c r="J18" s="197">
        <f t="shared" si="5"/>
        <v>984.90000000000009</v>
      </c>
      <c r="K18" s="198">
        <f t="shared" si="6"/>
        <v>495.09999999999991</v>
      </c>
    </row>
    <row r="19" spans="1:13" ht="21" thickBot="1" x14ac:dyDescent="0.3">
      <c r="A19" s="206">
        <f t="shared" si="1"/>
        <v>13</v>
      </c>
      <c r="B19" s="207" t="s">
        <v>18</v>
      </c>
      <c r="C19" s="211">
        <f t="shared" si="2"/>
        <v>1007.5</v>
      </c>
      <c r="D19" s="209">
        <f t="shared" si="2"/>
        <v>958</v>
      </c>
      <c r="E19" s="210">
        <f t="shared" si="7"/>
        <v>49.5</v>
      </c>
      <c r="F19" s="211">
        <f t="shared" si="3"/>
        <v>1007.5</v>
      </c>
      <c r="G19" s="209">
        <f t="shared" si="3"/>
        <v>894</v>
      </c>
      <c r="H19" s="210">
        <f t="shared" si="4"/>
        <v>113.5</v>
      </c>
      <c r="I19" s="224">
        <f t="shared" si="5"/>
        <v>2015</v>
      </c>
      <c r="J19" s="209">
        <f t="shared" si="5"/>
        <v>1852</v>
      </c>
      <c r="K19" s="210">
        <f t="shared" si="6"/>
        <v>163</v>
      </c>
    </row>
    <row r="20" spans="1:13" ht="21" thickBot="1" x14ac:dyDescent="0.3">
      <c r="A20" s="212"/>
      <c r="B20" s="213" t="s">
        <v>163</v>
      </c>
      <c r="C20" s="217">
        <f>SUM(C7:C19)</f>
        <v>13731</v>
      </c>
      <c r="D20" s="215">
        <f t="shared" ref="D20:K20" si="8">SUM(D7:D19)</f>
        <v>7373.0749999999998</v>
      </c>
      <c r="E20" s="225">
        <f t="shared" si="8"/>
        <v>6357.9250000000002</v>
      </c>
      <c r="F20" s="217">
        <f t="shared" si="8"/>
        <v>13731</v>
      </c>
      <c r="G20" s="215">
        <f t="shared" si="8"/>
        <v>6219.8165799999997</v>
      </c>
      <c r="H20" s="225">
        <f t="shared" si="8"/>
        <v>7511.1834200000003</v>
      </c>
      <c r="I20" s="226">
        <f t="shared" si="8"/>
        <v>27462</v>
      </c>
      <c r="J20" s="215">
        <f t="shared" si="8"/>
        <v>13592.89158</v>
      </c>
      <c r="K20" s="225">
        <f t="shared" si="8"/>
        <v>13869.10842</v>
      </c>
    </row>
    <row r="21" spans="1:13" ht="20.25" x14ac:dyDescent="0.25">
      <c r="A21" s="227"/>
      <c r="B21" s="227"/>
      <c r="C21" s="228"/>
      <c r="D21" s="229"/>
      <c r="E21" s="228"/>
      <c r="F21" s="228"/>
      <c r="G21" s="229"/>
      <c r="H21" s="228"/>
      <c r="I21" s="228"/>
      <c r="J21" s="229"/>
      <c r="K21" s="228"/>
    </row>
    <row r="22" spans="1:13" ht="19.5" thickBot="1" x14ac:dyDescent="0.35">
      <c r="B22" s="230" t="s">
        <v>168</v>
      </c>
      <c r="E22" s="190"/>
      <c r="K22" s="222"/>
    </row>
    <row r="23" spans="1:13" ht="18.75" x14ac:dyDescent="0.25">
      <c r="A23" s="735" t="s">
        <v>138</v>
      </c>
      <c r="B23" s="737" t="s">
        <v>139</v>
      </c>
      <c r="C23" s="739" t="s">
        <v>165</v>
      </c>
      <c r="D23" s="740"/>
      <c r="E23" s="741"/>
      <c r="F23" s="739" t="s">
        <v>166</v>
      </c>
      <c r="G23" s="740"/>
      <c r="H23" s="741"/>
      <c r="I23" s="742" t="s">
        <v>142</v>
      </c>
      <c r="J23" s="743"/>
      <c r="K23" s="744"/>
    </row>
    <row r="24" spans="1:13" ht="18.75" thickBot="1" x14ac:dyDescent="0.3">
      <c r="A24" s="736"/>
      <c r="B24" s="738"/>
      <c r="C24" s="178" t="s">
        <v>143</v>
      </c>
      <c r="D24" s="178" t="s">
        <v>144</v>
      </c>
      <c r="E24" s="179" t="s">
        <v>145</v>
      </c>
      <c r="F24" s="178" t="s">
        <v>143</v>
      </c>
      <c r="G24" s="178" t="s">
        <v>144</v>
      </c>
      <c r="H24" s="179" t="s">
        <v>145</v>
      </c>
      <c r="I24" s="178" t="s">
        <v>143</v>
      </c>
      <c r="J24" s="178" t="s">
        <v>144</v>
      </c>
      <c r="K24" s="179" t="s">
        <v>145</v>
      </c>
    </row>
    <row r="25" spans="1:13" ht="19.5" thickBot="1" x14ac:dyDescent="0.3">
      <c r="A25" s="191" t="s">
        <v>160</v>
      </c>
      <c r="B25" s="192" t="s">
        <v>161</v>
      </c>
      <c r="C25" s="194">
        <v>1</v>
      </c>
      <c r="D25" s="194">
        <v>2</v>
      </c>
      <c r="E25" s="192">
        <v>3</v>
      </c>
      <c r="F25" s="191">
        <v>4</v>
      </c>
      <c r="G25" s="194">
        <v>5</v>
      </c>
      <c r="H25" s="192">
        <v>6</v>
      </c>
      <c r="I25" s="191">
        <v>7</v>
      </c>
      <c r="J25" s="194">
        <v>8</v>
      </c>
      <c r="K25" s="192">
        <v>9</v>
      </c>
    </row>
    <row r="26" spans="1:13" ht="20.25" x14ac:dyDescent="0.25">
      <c r="A26" s="184">
        <v>1</v>
      </c>
      <c r="B26" s="185" t="s">
        <v>162</v>
      </c>
      <c r="C26" s="199">
        <v>434</v>
      </c>
      <c r="D26" s="197"/>
      <c r="E26" s="198">
        <f>+C26-D26</f>
        <v>434</v>
      </c>
      <c r="F26" s="199">
        <v>434</v>
      </c>
      <c r="G26" s="197">
        <v>372.44657999999998</v>
      </c>
      <c r="H26" s="198">
        <f>+F26-G26</f>
        <v>61.553420000000017</v>
      </c>
      <c r="I26" s="223">
        <f>+C26+F26</f>
        <v>868</v>
      </c>
      <c r="J26" s="197">
        <f>+D26+G26</f>
        <v>372.44657999999998</v>
      </c>
      <c r="K26" s="198">
        <f>+I26-J26</f>
        <v>495.55342000000002</v>
      </c>
      <c r="L26" s="200"/>
      <c r="M26" s="200"/>
    </row>
    <row r="27" spans="1:13" ht="20.25" x14ac:dyDescent="0.25">
      <c r="A27" s="184">
        <f t="shared" ref="A27:A38" si="9">+A26+1</f>
        <v>2</v>
      </c>
      <c r="B27" s="185" t="s">
        <v>147</v>
      </c>
      <c r="C27" s="199">
        <v>427</v>
      </c>
      <c r="D27" s="197">
        <v>427</v>
      </c>
      <c r="E27" s="198">
        <f t="shared" ref="E27:E38" si="10">+C27-D27</f>
        <v>0</v>
      </c>
      <c r="F27" s="199">
        <v>427</v>
      </c>
      <c r="G27" s="197">
        <v>427</v>
      </c>
      <c r="H27" s="198">
        <f t="shared" ref="H27:H38" si="11">+F27-G27</f>
        <v>0</v>
      </c>
      <c r="I27" s="223">
        <f t="shared" ref="I27:J38" si="12">+C27+F27</f>
        <v>854</v>
      </c>
      <c r="J27" s="197">
        <f t="shared" si="12"/>
        <v>854</v>
      </c>
      <c r="K27" s="198">
        <f t="shared" ref="K27:K38" si="13">+I27-J27</f>
        <v>0</v>
      </c>
      <c r="L27" s="200"/>
      <c r="M27" s="200"/>
    </row>
    <row r="28" spans="1:13" ht="20.25" x14ac:dyDescent="0.25">
      <c r="A28" s="184">
        <f t="shared" si="9"/>
        <v>3</v>
      </c>
      <c r="B28" s="185" t="s">
        <v>148</v>
      </c>
      <c r="C28" s="199">
        <v>261</v>
      </c>
      <c r="D28" s="197">
        <v>200</v>
      </c>
      <c r="E28" s="198">
        <f t="shared" si="10"/>
        <v>61</v>
      </c>
      <c r="F28" s="199">
        <v>261</v>
      </c>
      <c r="G28" s="197">
        <v>250</v>
      </c>
      <c r="H28" s="198">
        <f t="shared" si="11"/>
        <v>11</v>
      </c>
      <c r="I28" s="223">
        <f t="shared" si="12"/>
        <v>522</v>
      </c>
      <c r="J28" s="197">
        <f t="shared" si="12"/>
        <v>450</v>
      </c>
      <c r="K28" s="198">
        <f t="shared" si="13"/>
        <v>72</v>
      </c>
      <c r="L28" s="200"/>
      <c r="M28" s="200"/>
    </row>
    <row r="29" spans="1:13" ht="20.25" x14ac:dyDescent="0.25">
      <c r="A29" s="184">
        <f t="shared" si="9"/>
        <v>4</v>
      </c>
      <c r="B29" s="185" t="s">
        <v>149</v>
      </c>
      <c r="C29" s="199">
        <v>242</v>
      </c>
      <c r="D29" s="197">
        <f>242</f>
        <v>242</v>
      </c>
      <c r="E29" s="198">
        <f t="shared" si="10"/>
        <v>0</v>
      </c>
      <c r="F29" s="199">
        <v>242</v>
      </c>
      <c r="G29" s="197">
        <v>242</v>
      </c>
      <c r="H29" s="198">
        <f t="shared" si="11"/>
        <v>0</v>
      </c>
      <c r="I29" s="223">
        <f t="shared" si="12"/>
        <v>484</v>
      </c>
      <c r="J29" s="197">
        <f t="shared" si="12"/>
        <v>484</v>
      </c>
      <c r="K29" s="198">
        <f t="shared" si="13"/>
        <v>0</v>
      </c>
      <c r="L29" s="200"/>
      <c r="M29" s="200"/>
    </row>
    <row r="30" spans="1:13" ht="20.25" x14ac:dyDescent="0.25">
      <c r="A30" s="184">
        <f t="shared" si="9"/>
        <v>5</v>
      </c>
      <c r="B30" s="185" t="s">
        <v>150</v>
      </c>
      <c r="C30" s="199">
        <v>187</v>
      </c>
      <c r="D30" s="197">
        <v>61</v>
      </c>
      <c r="E30" s="198">
        <f t="shared" si="10"/>
        <v>126</v>
      </c>
      <c r="F30" s="199">
        <v>187</v>
      </c>
      <c r="G30" s="197">
        <v>61</v>
      </c>
      <c r="H30" s="198">
        <f t="shared" si="11"/>
        <v>126</v>
      </c>
      <c r="I30" s="223">
        <f t="shared" si="12"/>
        <v>374</v>
      </c>
      <c r="J30" s="197">
        <f t="shared" si="12"/>
        <v>122</v>
      </c>
      <c r="K30" s="198">
        <f t="shared" si="13"/>
        <v>252</v>
      </c>
      <c r="L30" s="200"/>
      <c r="M30" s="200"/>
    </row>
    <row r="31" spans="1:13" ht="20.25" x14ac:dyDescent="0.25">
      <c r="A31" s="184">
        <f t="shared" si="9"/>
        <v>6</v>
      </c>
      <c r="B31" s="185" t="s">
        <v>151</v>
      </c>
      <c r="C31" s="199">
        <v>226</v>
      </c>
      <c r="D31" s="197">
        <v>250</v>
      </c>
      <c r="E31" s="198">
        <f>+C31-D31</f>
        <v>-24</v>
      </c>
      <c r="F31" s="199">
        <v>226</v>
      </c>
      <c r="G31" s="197">
        <v>226</v>
      </c>
      <c r="H31" s="198">
        <f t="shared" si="11"/>
        <v>0</v>
      </c>
      <c r="I31" s="223">
        <f t="shared" si="12"/>
        <v>452</v>
      </c>
      <c r="J31" s="197">
        <f t="shared" si="12"/>
        <v>476</v>
      </c>
      <c r="K31" s="198">
        <f t="shared" si="13"/>
        <v>-24</v>
      </c>
      <c r="L31" s="200"/>
      <c r="M31" s="200"/>
    </row>
    <row r="32" spans="1:13" ht="20.25" x14ac:dyDescent="0.25">
      <c r="A32" s="184">
        <f t="shared" si="9"/>
        <v>7</v>
      </c>
      <c r="B32" s="185" t="s">
        <v>152</v>
      </c>
      <c r="C32" s="199">
        <v>288</v>
      </c>
      <c r="D32" s="197">
        <v>288</v>
      </c>
      <c r="E32" s="198">
        <f t="shared" si="10"/>
        <v>0</v>
      </c>
      <c r="F32" s="199">
        <v>288</v>
      </c>
      <c r="G32" s="197">
        <v>288</v>
      </c>
      <c r="H32" s="198">
        <f t="shared" si="11"/>
        <v>0</v>
      </c>
      <c r="I32" s="223">
        <f t="shared" si="12"/>
        <v>576</v>
      </c>
      <c r="J32" s="197">
        <f t="shared" si="12"/>
        <v>576</v>
      </c>
      <c r="K32" s="198">
        <f t="shared" si="13"/>
        <v>0</v>
      </c>
      <c r="L32" s="200"/>
      <c r="M32" s="200"/>
    </row>
    <row r="33" spans="1:13" ht="20.25" x14ac:dyDescent="0.25">
      <c r="A33" s="184">
        <f t="shared" si="9"/>
        <v>8</v>
      </c>
      <c r="B33" s="185" t="s">
        <v>167</v>
      </c>
      <c r="C33" s="199">
        <v>292</v>
      </c>
      <c r="D33" s="197">
        <v>292</v>
      </c>
      <c r="E33" s="198">
        <f t="shared" si="10"/>
        <v>0</v>
      </c>
      <c r="F33" s="199">
        <v>292</v>
      </c>
      <c r="G33" s="197">
        <v>292</v>
      </c>
      <c r="H33" s="198">
        <f t="shared" si="11"/>
        <v>0</v>
      </c>
      <c r="I33" s="223">
        <f t="shared" si="12"/>
        <v>584</v>
      </c>
      <c r="J33" s="197">
        <f t="shared" si="12"/>
        <v>584</v>
      </c>
      <c r="K33" s="198">
        <f t="shared" si="13"/>
        <v>0</v>
      </c>
      <c r="L33" s="200"/>
      <c r="M33" s="200"/>
    </row>
    <row r="34" spans="1:13" ht="20.25" x14ac:dyDescent="0.25">
      <c r="A34" s="184">
        <f t="shared" si="9"/>
        <v>9</v>
      </c>
      <c r="B34" s="185" t="s">
        <v>154</v>
      </c>
      <c r="C34" s="199">
        <v>110</v>
      </c>
      <c r="D34" s="197">
        <v>55</v>
      </c>
      <c r="E34" s="198">
        <f t="shared" si="10"/>
        <v>55</v>
      </c>
      <c r="F34" s="199">
        <v>110</v>
      </c>
      <c r="G34" s="197">
        <v>55</v>
      </c>
      <c r="H34" s="198">
        <f t="shared" si="11"/>
        <v>55</v>
      </c>
      <c r="I34" s="223">
        <f t="shared" si="12"/>
        <v>220</v>
      </c>
      <c r="J34" s="197">
        <f t="shared" si="12"/>
        <v>110</v>
      </c>
      <c r="K34" s="198">
        <f t="shared" si="13"/>
        <v>110</v>
      </c>
      <c r="L34" s="200"/>
      <c r="M34" s="200"/>
    </row>
    <row r="35" spans="1:13" ht="20.25" x14ac:dyDescent="0.25">
      <c r="A35" s="184">
        <f t="shared" si="9"/>
        <v>10</v>
      </c>
      <c r="B35" s="185" t="s">
        <v>15</v>
      </c>
      <c r="C35" s="199">
        <v>143</v>
      </c>
      <c r="D35" s="197">
        <v>146.875</v>
      </c>
      <c r="E35" s="198">
        <f t="shared" si="10"/>
        <v>-3.875</v>
      </c>
      <c r="F35" s="199">
        <v>143</v>
      </c>
      <c r="G35" s="197">
        <v>100</v>
      </c>
      <c r="H35" s="198">
        <f t="shared" si="11"/>
        <v>43</v>
      </c>
      <c r="I35" s="223">
        <f t="shared" si="12"/>
        <v>286</v>
      </c>
      <c r="J35" s="197">
        <f t="shared" si="12"/>
        <v>246.875</v>
      </c>
      <c r="K35" s="198">
        <f t="shared" si="13"/>
        <v>39.125</v>
      </c>
      <c r="L35" s="200"/>
      <c r="M35" s="200"/>
    </row>
    <row r="36" spans="1:13" ht="20.25" x14ac:dyDescent="0.25">
      <c r="A36" s="184">
        <f t="shared" si="9"/>
        <v>11</v>
      </c>
      <c r="B36" s="185" t="s">
        <v>155</v>
      </c>
      <c r="C36" s="199">
        <v>186</v>
      </c>
      <c r="D36" s="197">
        <v>186</v>
      </c>
      <c r="E36" s="198">
        <f t="shared" si="10"/>
        <v>0</v>
      </c>
      <c r="F36" s="199">
        <v>186</v>
      </c>
      <c r="G36" s="197">
        <v>186</v>
      </c>
      <c r="H36" s="198">
        <f t="shared" si="11"/>
        <v>0</v>
      </c>
      <c r="I36" s="223">
        <f t="shared" si="12"/>
        <v>372</v>
      </c>
      <c r="J36" s="197">
        <f t="shared" si="12"/>
        <v>372</v>
      </c>
      <c r="K36" s="198">
        <f t="shared" si="13"/>
        <v>0</v>
      </c>
      <c r="L36" s="200"/>
      <c r="M36" s="200"/>
    </row>
    <row r="37" spans="1:13" ht="20.25" x14ac:dyDescent="0.25">
      <c r="A37" s="184">
        <f t="shared" si="9"/>
        <v>12</v>
      </c>
      <c r="B37" s="185" t="s">
        <v>156</v>
      </c>
      <c r="C37" s="199">
        <v>126</v>
      </c>
      <c r="D37" s="197">
        <v>126</v>
      </c>
      <c r="E37" s="198">
        <f t="shared" si="10"/>
        <v>0</v>
      </c>
      <c r="F37" s="199">
        <v>126</v>
      </c>
      <c r="G37" s="197">
        <v>126</v>
      </c>
      <c r="H37" s="198">
        <f t="shared" si="11"/>
        <v>0</v>
      </c>
      <c r="I37" s="223">
        <f t="shared" si="12"/>
        <v>252</v>
      </c>
      <c r="J37" s="197">
        <f t="shared" si="12"/>
        <v>252</v>
      </c>
      <c r="K37" s="198">
        <f t="shared" si="13"/>
        <v>0</v>
      </c>
      <c r="L37" s="200"/>
      <c r="M37" s="200"/>
    </row>
    <row r="38" spans="1:13" ht="21" thickBot="1" x14ac:dyDescent="0.3">
      <c r="A38" s="206">
        <f t="shared" si="9"/>
        <v>13</v>
      </c>
      <c r="B38" s="207" t="s">
        <v>18</v>
      </c>
      <c r="C38" s="211">
        <v>81</v>
      </c>
      <c r="D38" s="209">
        <v>231</v>
      </c>
      <c r="E38" s="210">
        <f t="shared" si="10"/>
        <v>-150</v>
      </c>
      <c r="F38" s="211">
        <v>81</v>
      </c>
      <c r="G38" s="209">
        <v>231</v>
      </c>
      <c r="H38" s="210">
        <f t="shared" si="11"/>
        <v>-150</v>
      </c>
      <c r="I38" s="224">
        <f t="shared" si="12"/>
        <v>162</v>
      </c>
      <c r="J38" s="209">
        <f t="shared" si="12"/>
        <v>462</v>
      </c>
      <c r="K38" s="210">
        <f t="shared" si="13"/>
        <v>-300</v>
      </c>
      <c r="L38" s="200"/>
      <c r="M38" s="200"/>
    </row>
    <row r="39" spans="1:13" s="218" customFormat="1" ht="21" thickBot="1" x14ac:dyDescent="0.3">
      <c r="A39" s="212"/>
      <c r="B39" s="213" t="s">
        <v>163</v>
      </c>
      <c r="C39" s="217">
        <f>SUM(C26:C38)</f>
        <v>3003</v>
      </c>
      <c r="D39" s="215">
        <f t="shared" ref="D39:K39" si="14">SUM(D26:D38)</f>
        <v>2504.875</v>
      </c>
      <c r="E39" s="225">
        <f t="shared" si="14"/>
        <v>498.125</v>
      </c>
      <c r="F39" s="217">
        <f t="shared" si="14"/>
        <v>3003</v>
      </c>
      <c r="G39" s="215">
        <f t="shared" si="14"/>
        <v>2856.4465799999998</v>
      </c>
      <c r="H39" s="225">
        <f t="shared" si="14"/>
        <v>146.55342000000002</v>
      </c>
      <c r="I39" s="226">
        <f t="shared" si="14"/>
        <v>6006</v>
      </c>
      <c r="J39" s="215">
        <f t="shared" si="14"/>
        <v>5361.3215799999998</v>
      </c>
      <c r="K39" s="225">
        <f t="shared" si="14"/>
        <v>644.67841999999996</v>
      </c>
    </row>
    <row r="40" spans="1:13" s="218" customFormat="1" ht="20.25" x14ac:dyDescent="0.25">
      <c r="A40" s="227"/>
      <c r="B40" s="227"/>
      <c r="C40" s="228"/>
      <c r="D40" s="229"/>
      <c r="E40" s="228"/>
      <c r="F40" s="228"/>
      <c r="G40" s="229"/>
      <c r="H40" s="228"/>
      <c r="I40" s="228"/>
      <c r="J40" s="229"/>
      <c r="K40" s="228"/>
    </row>
    <row r="41" spans="1:13" ht="19.5" thickBot="1" x14ac:dyDescent="0.35">
      <c r="B41" s="230" t="s">
        <v>169</v>
      </c>
    </row>
    <row r="42" spans="1:13" ht="18.75" x14ac:dyDescent="0.25">
      <c r="A42" s="735" t="s">
        <v>138</v>
      </c>
      <c r="B42" s="737" t="s">
        <v>139</v>
      </c>
      <c r="C42" s="739" t="s">
        <v>165</v>
      </c>
      <c r="D42" s="740"/>
      <c r="E42" s="741"/>
      <c r="F42" s="739" t="s">
        <v>166</v>
      </c>
      <c r="G42" s="740"/>
      <c r="H42" s="741"/>
      <c r="I42" s="742" t="s">
        <v>142</v>
      </c>
      <c r="J42" s="743"/>
      <c r="K42" s="744"/>
    </row>
    <row r="43" spans="1:13" ht="18.75" thickBot="1" x14ac:dyDescent="0.3">
      <c r="A43" s="736"/>
      <c r="B43" s="738"/>
      <c r="C43" s="178" t="s">
        <v>143</v>
      </c>
      <c r="D43" s="178" t="s">
        <v>144</v>
      </c>
      <c r="E43" s="179" t="s">
        <v>145</v>
      </c>
      <c r="F43" s="178" t="s">
        <v>143</v>
      </c>
      <c r="G43" s="178" t="s">
        <v>144</v>
      </c>
      <c r="H43" s="179" t="s">
        <v>145</v>
      </c>
      <c r="I43" s="178" t="s">
        <v>143</v>
      </c>
      <c r="J43" s="178" t="s">
        <v>144</v>
      </c>
      <c r="K43" s="179" t="s">
        <v>145</v>
      </c>
    </row>
    <row r="44" spans="1:13" ht="19.5" thickBot="1" x14ac:dyDescent="0.3">
      <c r="A44" s="191" t="s">
        <v>160</v>
      </c>
      <c r="B44" s="192" t="s">
        <v>161</v>
      </c>
      <c r="C44" s="194">
        <v>1</v>
      </c>
      <c r="D44" s="194">
        <v>2</v>
      </c>
      <c r="E44" s="192">
        <v>3</v>
      </c>
      <c r="F44" s="191">
        <v>4</v>
      </c>
      <c r="G44" s="194">
        <v>5</v>
      </c>
      <c r="H44" s="192">
        <v>6</v>
      </c>
      <c r="I44" s="191">
        <v>7</v>
      </c>
      <c r="J44" s="194">
        <v>8</v>
      </c>
      <c r="K44" s="192">
        <v>9</v>
      </c>
    </row>
    <row r="45" spans="1:13" ht="20.25" x14ac:dyDescent="0.25">
      <c r="A45" s="184">
        <v>1</v>
      </c>
      <c r="B45" s="185" t="s">
        <v>162</v>
      </c>
      <c r="C45" s="199">
        <v>465</v>
      </c>
      <c r="D45" s="197"/>
      <c r="E45" s="198">
        <f>+C45-D45</f>
        <v>465</v>
      </c>
      <c r="F45" s="199">
        <v>465</v>
      </c>
      <c r="G45" s="197"/>
      <c r="H45" s="198">
        <f>+F45-G45</f>
        <v>465</v>
      </c>
      <c r="I45" s="223">
        <f>+C45+F45</f>
        <v>930</v>
      </c>
      <c r="J45" s="197">
        <f>+D45+G45</f>
        <v>0</v>
      </c>
      <c r="K45" s="198">
        <f>+I45-J45</f>
        <v>930</v>
      </c>
    </row>
    <row r="46" spans="1:13" ht="20.25" x14ac:dyDescent="0.25">
      <c r="A46" s="184">
        <v>2</v>
      </c>
      <c r="B46" s="185" t="s">
        <v>147</v>
      </c>
      <c r="C46" s="199">
        <v>317.5</v>
      </c>
      <c r="D46" s="197"/>
      <c r="E46" s="198">
        <f t="shared" ref="E46:E57" si="15">+C46-D46</f>
        <v>317.5</v>
      </c>
      <c r="F46" s="199">
        <v>317.5</v>
      </c>
      <c r="G46" s="197"/>
      <c r="H46" s="198">
        <f t="shared" ref="H46:H57" si="16">+F46-G46</f>
        <v>317.5</v>
      </c>
      <c r="I46" s="223">
        <f t="shared" ref="I46:J57" si="17">+C46+F46</f>
        <v>635</v>
      </c>
      <c r="J46" s="197">
        <f t="shared" si="17"/>
        <v>0</v>
      </c>
      <c r="K46" s="198">
        <f t="shared" ref="K46:K57" si="18">+I46-J46</f>
        <v>635</v>
      </c>
    </row>
    <row r="47" spans="1:13" ht="20.25" x14ac:dyDescent="0.25">
      <c r="A47" s="184">
        <f t="shared" ref="A47:A57" si="19">+A46+1</f>
        <v>3</v>
      </c>
      <c r="B47" s="185" t="s">
        <v>148</v>
      </c>
      <c r="C47" s="199">
        <v>509</v>
      </c>
      <c r="D47" s="197">
        <v>250</v>
      </c>
      <c r="E47" s="198">
        <f t="shared" si="15"/>
        <v>259</v>
      </c>
      <c r="F47" s="199">
        <v>509</v>
      </c>
      <c r="G47" s="197">
        <v>250</v>
      </c>
      <c r="H47" s="198">
        <f t="shared" si="16"/>
        <v>259</v>
      </c>
      <c r="I47" s="223">
        <f t="shared" si="17"/>
        <v>1018</v>
      </c>
      <c r="J47" s="197">
        <f t="shared" si="17"/>
        <v>500</v>
      </c>
      <c r="K47" s="198">
        <f t="shared" si="18"/>
        <v>518</v>
      </c>
    </row>
    <row r="48" spans="1:13" ht="20.25" x14ac:dyDescent="0.25">
      <c r="A48" s="184">
        <f t="shared" si="19"/>
        <v>4</v>
      </c>
      <c r="B48" s="185" t="s">
        <v>149</v>
      </c>
      <c r="C48" s="199">
        <v>601.5</v>
      </c>
      <c r="D48" s="197"/>
      <c r="E48" s="198">
        <f t="shared" si="15"/>
        <v>601.5</v>
      </c>
      <c r="F48" s="199">
        <v>601.5</v>
      </c>
      <c r="G48" s="197">
        <v>100</v>
      </c>
      <c r="H48" s="198">
        <f t="shared" si="16"/>
        <v>501.5</v>
      </c>
      <c r="I48" s="223">
        <f t="shared" si="17"/>
        <v>1203</v>
      </c>
      <c r="J48" s="197">
        <f t="shared" si="17"/>
        <v>100</v>
      </c>
      <c r="K48" s="198">
        <f t="shared" si="18"/>
        <v>1103</v>
      </c>
    </row>
    <row r="49" spans="1:11" ht="20.25" x14ac:dyDescent="0.25">
      <c r="A49" s="184">
        <f t="shared" si="19"/>
        <v>5</v>
      </c>
      <c r="B49" s="185" t="s">
        <v>150</v>
      </c>
      <c r="C49" s="199">
        <v>475</v>
      </c>
      <c r="D49" s="197">
        <v>11</v>
      </c>
      <c r="E49" s="198">
        <f t="shared" si="15"/>
        <v>464</v>
      </c>
      <c r="F49" s="199">
        <v>475</v>
      </c>
      <c r="G49" s="197">
        <v>11</v>
      </c>
      <c r="H49" s="198">
        <f t="shared" si="16"/>
        <v>464</v>
      </c>
      <c r="I49" s="223">
        <f t="shared" si="17"/>
        <v>950</v>
      </c>
      <c r="J49" s="197">
        <f t="shared" si="17"/>
        <v>22</v>
      </c>
      <c r="K49" s="198">
        <f t="shared" si="18"/>
        <v>928</v>
      </c>
    </row>
    <row r="50" spans="1:11" ht="20.25" x14ac:dyDescent="0.25">
      <c r="A50" s="184">
        <f t="shared" si="19"/>
        <v>6</v>
      </c>
      <c r="B50" s="185" t="s">
        <v>151</v>
      </c>
      <c r="C50" s="199">
        <v>425</v>
      </c>
      <c r="D50" s="197">
        <v>300</v>
      </c>
      <c r="E50" s="198">
        <f>+C50-D50</f>
        <v>125</v>
      </c>
      <c r="F50" s="199">
        <v>425</v>
      </c>
      <c r="G50" s="197">
        <v>300</v>
      </c>
      <c r="H50" s="198">
        <f t="shared" si="16"/>
        <v>125</v>
      </c>
      <c r="I50" s="223">
        <f t="shared" si="17"/>
        <v>850</v>
      </c>
      <c r="J50" s="197">
        <f t="shared" si="17"/>
        <v>600</v>
      </c>
      <c r="K50" s="198">
        <f t="shared" si="18"/>
        <v>250</v>
      </c>
    </row>
    <row r="51" spans="1:11" ht="20.25" x14ac:dyDescent="0.25">
      <c r="A51" s="184">
        <f t="shared" si="19"/>
        <v>7</v>
      </c>
      <c r="B51" s="185" t="s">
        <v>152</v>
      </c>
      <c r="C51" s="199">
        <v>593</v>
      </c>
      <c r="D51" s="197">
        <v>150</v>
      </c>
      <c r="E51" s="198">
        <f t="shared" si="15"/>
        <v>443</v>
      </c>
      <c r="F51" s="199">
        <v>593</v>
      </c>
      <c r="G51" s="197">
        <v>50</v>
      </c>
      <c r="H51" s="198">
        <f t="shared" si="16"/>
        <v>543</v>
      </c>
      <c r="I51" s="223">
        <f t="shared" si="17"/>
        <v>1186</v>
      </c>
      <c r="J51" s="197">
        <f t="shared" si="17"/>
        <v>200</v>
      </c>
      <c r="K51" s="198">
        <f t="shared" si="18"/>
        <v>986</v>
      </c>
    </row>
    <row r="52" spans="1:11" ht="20.25" x14ac:dyDescent="0.25">
      <c r="A52" s="184">
        <f t="shared" si="19"/>
        <v>8</v>
      </c>
      <c r="B52" s="185" t="s">
        <v>167</v>
      </c>
      <c r="C52" s="199">
        <v>556.5</v>
      </c>
      <c r="D52" s="197">
        <v>370</v>
      </c>
      <c r="E52" s="198">
        <f t="shared" si="15"/>
        <v>186.5</v>
      </c>
      <c r="F52" s="199">
        <v>556.5</v>
      </c>
      <c r="G52" s="197">
        <v>370</v>
      </c>
      <c r="H52" s="198">
        <f t="shared" si="16"/>
        <v>186.5</v>
      </c>
      <c r="I52" s="223">
        <f t="shared" si="17"/>
        <v>1113</v>
      </c>
      <c r="J52" s="197">
        <f t="shared" si="17"/>
        <v>740</v>
      </c>
      <c r="K52" s="198">
        <f t="shared" si="18"/>
        <v>373</v>
      </c>
    </row>
    <row r="53" spans="1:11" ht="20.25" x14ac:dyDescent="0.25">
      <c r="A53" s="184">
        <f t="shared" si="19"/>
        <v>9</v>
      </c>
      <c r="B53" s="185" t="s">
        <v>154</v>
      </c>
      <c r="C53" s="199">
        <v>302</v>
      </c>
      <c r="D53" s="197"/>
      <c r="E53" s="198">
        <f t="shared" si="15"/>
        <v>302</v>
      </c>
      <c r="F53" s="199">
        <v>302</v>
      </c>
      <c r="G53" s="197"/>
      <c r="H53" s="198">
        <f t="shared" si="16"/>
        <v>302</v>
      </c>
      <c r="I53" s="223">
        <f t="shared" si="17"/>
        <v>604</v>
      </c>
      <c r="J53" s="197">
        <f t="shared" si="17"/>
        <v>0</v>
      </c>
      <c r="K53" s="198">
        <f t="shared" si="18"/>
        <v>604</v>
      </c>
    </row>
    <row r="54" spans="1:11" ht="20.25" x14ac:dyDescent="0.25">
      <c r="A54" s="184">
        <f t="shared" si="19"/>
        <v>10</v>
      </c>
      <c r="B54" s="185" t="s">
        <v>15</v>
      </c>
      <c r="C54" s="199">
        <v>333</v>
      </c>
      <c r="D54" s="197">
        <f>100+35+7</f>
        <v>142</v>
      </c>
      <c r="E54" s="198">
        <f t="shared" si="15"/>
        <v>191</v>
      </c>
      <c r="F54" s="199">
        <v>333</v>
      </c>
      <c r="G54" s="197"/>
      <c r="H54" s="198">
        <f t="shared" si="16"/>
        <v>333</v>
      </c>
      <c r="I54" s="223">
        <f t="shared" si="17"/>
        <v>666</v>
      </c>
      <c r="J54" s="197">
        <f t="shared" si="17"/>
        <v>142</v>
      </c>
      <c r="K54" s="198">
        <f t="shared" si="18"/>
        <v>524</v>
      </c>
    </row>
    <row r="55" spans="1:11" ht="20.25" x14ac:dyDescent="0.25">
      <c r="A55" s="184">
        <f t="shared" si="19"/>
        <v>11</v>
      </c>
      <c r="B55" s="185" t="s">
        <v>155</v>
      </c>
      <c r="C55" s="199">
        <v>303</v>
      </c>
      <c r="D55" s="197">
        <v>100</v>
      </c>
      <c r="E55" s="198">
        <f t="shared" si="15"/>
        <v>203</v>
      </c>
      <c r="F55" s="199">
        <v>303</v>
      </c>
      <c r="G55" s="197"/>
      <c r="H55" s="198">
        <f t="shared" si="16"/>
        <v>303</v>
      </c>
      <c r="I55" s="223">
        <f t="shared" si="17"/>
        <v>606</v>
      </c>
      <c r="J55" s="197">
        <f t="shared" si="17"/>
        <v>100</v>
      </c>
      <c r="K55" s="198">
        <f t="shared" si="18"/>
        <v>506</v>
      </c>
    </row>
    <row r="56" spans="1:11" ht="20.25" x14ac:dyDescent="0.25">
      <c r="A56" s="184">
        <f t="shared" si="19"/>
        <v>12</v>
      </c>
      <c r="B56" s="185" t="s">
        <v>156</v>
      </c>
      <c r="C56" s="199">
        <v>307.5</v>
      </c>
      <c r="D56" s="197">
        <v>307.5</v>
      </c>
      <c r="E56" s="198">
        <f t="shared" si="15"/>
        <v>0</v>
      </c>
      <c r="F56" s="199">
        <v>307.5</v>
      </c>
      <c r="G56" s="197">
        <v>100</v>
      </c>
      <c r="H56" s="198">
        <f t="shared" si="16"/>
        <v>207.5</v>
      </c>
      <c r="I56" s="223">
        <f t="shared" si="17"/>
        <v>615</v>
      </c>
      <c r="J56" s="197">
        <f t="shared" si="17"/>
        <v>407.5</v>
      </c>
      <c r="K56" s="198">
        <f t="shared" si="18"/>
        <v>207.5</v>
      </c>
    </row>
    <row r="57" spans="1:11" ht="21" thickBot="1" x14ac:dyDescent="0.3">
      <c r="A57" s="206">
        <f t="shared" si="19"/>
        <v>13</v>
      </c>
      <c r="B57" s="207" t="s">
        <v>18</v>
      </c>
      <c r="C57" s="211">
        <v>376.5</v>
      </c>
      <c r="D57" s="209">
        <v>377</v>
      </c>
      <c r="E57" s="210">
        <f t="shared" si="15"/>
        <v>-0.5</v>
      </c>
      <c r="F57" s="211">
        <v>376.5</v>
      </c>
      <c r="G57" s="209">
        <v>377</v>
      </c>
      <c r="H57" s="210">
        <f t="shared" si="16"/>
        <v>-0.5</v>
      </c>
      <c r="I57" s="224">
        <f t="shared" si="17"/>
        <v>753</v>
      </c>
      <c r="J57" s="209">
        <f t="shared" si="17"/>
        <v>754</v>
      </c>
      <c r="K57" s="210">
        <f t="shared" si="18"/>
        <v>-1</v>
      </c>
    </row>
    <row r="58" spans="1:11" ht="21" thickBot="1" x14ac:dyDescent="0.3">
      <c r="A58" s="212"/>
      <c r="B58" s="213" t="s">
        <v>163</v>
      </c>
      <c r="C58" s="217">
        <f>SUM(C45:C57)</f>
        <v>5564.5</v>
      </c>
      <c r="D58" s="215">
        <f t="shared" ref="D58:K58" si="20">SUM(D45:D57)</f>
        <v>2007.5</v>
      </c>
      <c r="E58" s="225">
        <f t="shared" si="20"/>
        <v>3557</v>
      </c>
      <c r="F58" s="217">
        <f t="shared" si="20"/>
        <v>5564.5</v>
      </c>
      <c r="G58" s="215">
        <f t="shared" si="20"/>
        <v>1558</v>
      </c>
      <c r="H58" s="225">
        <f t="shared" si="20"/>
        <v>4006.5</v>
      </c>
      <c r="I58" s="226">
        <f t="shared" si="20"/>
        <v>11129</v>
      </c>
      <c r="J58" s="215">
        <f t="shared" si="20"/>
        <v>3565.5</v>
      </c>
      <c r="K58" s="225">
        <f t="shared" si="20"/>
        <v>7563.5</v>
      </c>
    </row>
    <row r="59" spans="1:11" ht="20.25" x14ac:dyDescent="0.25">
      <c r="A59" s="227"/>
      <c r="B59" s="227"/>
      <c r="C59" s="228"/>
      <c r="D59" s="229"/>
      <c r="E59" s="228"/>
      <c r="F59" s="228"/>
      <c r="G59" s="229"/>
      <c r="H59" s="228"/>
      <c r="I59" s="228"/>
      <c r="J59" s="229"/>
      <c r="K59" s="228"/>
    </row>
    <row r="60" spans="1:11" ht="19.5" thickBot="1" x14ac:dyDescent="0.35">
      <c r="B60" s="230" t="s">
        <v>170</v>
      </c>
    </row>
    <row r="61" spans="1:11" ht="18.75" x14ac:dyDescent="0.25">
      <c r="A61" s="735" t="s">
        <v>138</v>
      </c>
      <c r="B61" s="737" t="s">
        <v>139</v>
      </c>
      <c r="C61" s="739" t="s">
        <v>165</v>
      </c>
      <c r="D61" s="740"/>
      <c r="E61" s="741"/>
      <c r="F61" s="739" t="s">
        <v>166</v>
      </c>
      <c r="G61" s="740"/>
      <c r="H61" s="741"/>
      <c r="I61" s="742" t="s">
        <v>142</v>
      </c>
      <c r="J61" s="743"/>
      <c r="K61" s="744"/>
    </row>
    <row r="62" spans="1:11" ht="18.75" thickBot="1" x14ac:dyDescent="0.3">
      <c r="A62" s="736"/>
      <c r="B62" s="738"/>
      <c r="C62" s="178" t="s">
        <v>143</v>
      </c>
      <c r="D62" s="178" t="s">
        <v>144</v>
      </c>
      <c r="E62" s="179" t="s">
        <v>145</v>
      </c>
      <c r="F62" s="178" t="s">
        <v>143</v>
      </c>
      <c r="G62" s="178" t="s">
        <v>144</v>
      </c>
      <c r="H62" s="179" t="s">
        <v>145</v>
      </c>
      <c r="I62" s="178" t="s">
        <v>143</v>
      </c>
      <c r="J62" s="178" t="s">
        <v>144</v>
      </c>
      <c r="K62" s="179" t="s">
        <v>145</v>
      </c>
    </row>
    <row r="63" spans="1:11" ht="19.5" thickBot="1" x14ac:dyDescent="0.3">
      <c r="A63" s="191" t="s">
        <v>160</v>
      </c>
      <c r="B63" s="192" t="s">
        <v>161</v>
      </c>
      <c r="C63" s="194">
        <v>1</v>
      </c>
      <c r="D63" s="194">
        <v>2</v>
      </c>
      <c r="E63" s="192">
        <v>3</v>
      </c>
      <c r="F63" s="191">
        <v>4</v>
      </c>
      <c r="G63" s="194">
        <v>5</v>
      </c>
      <c r="H63" s="192">
        <v>6</v>
      </c>
      <c r="I63" s="191">
        <v>7</v>
      </c>
      <c r="J63" s="194">
        <v>8</v>
      </c>
      <c r="K63" s="192">
        <v>9</v>
      </c>
    </row>
    <row r="64" spans="1:11" ht="20.25" x14ac:dyDescent="0.25">
      <c r="A64" s="184">
        <v>1</v>
      </c>
      <c r="B64" s="185" t="s">
        <v>162</v>
      </c>
      <c r="C64" s="199">
        <v>580</v>
      </c>
      <c r="D64" s="197">
        <v>100</v>
      </c>
      <c r="E64" s="198">
        <f>+C64-D64</f>
        <v>480</v>
      </c>
      <c r="F64" s="199">
        <v>580</v>
      </c>
      <c r="G64" s="197"/>
      <c r="H64" s="198">
        <f>+F64-G64</f>
        <v>580</v>
      </c>
      <c r="I64" s="223">
        <f>+C64+F64</f>
        <v>1160</v>
      </c>
      <c r="J64" s="197">
        <f>+D64+G64</f>
        <v>100</v>
      </c>
      <c r="K64" s="198">
        <f>+I64-J64</f>
        <v>1060</v>
      </c>
    </row>
    <row r="65" spans="1:11" ht="20.25" x14ac:dyDescent="0.25">
      <c r="A65" s="184">
        <v>2</v>
      </c>
      <c r="B65" s="185" t="s">
        <v>147</v>
      </c>
      <c r="C65" s="199">
        <v>380</v>
      </c>
      <c r="D65" s="197">
        <v>380</v>
      </c>
      <c r="E65" s="198">
        <f t="shared" ref="E65:E76" si="21">+C65-D65</f>
        <v>0</v>
      </c>
      <c r="F65" s="199">
        <v>380</v>
      </c>
      <c r="G65" s="197">
        <v>50</v>
      </c>
      <c r="H65" s="198">
        <f t="shared" ref="H65:H76" si="22">+F65-G65</f>
        <v>330</v>
      </c>
      <c r="I65" s="223">
        <f t="shared" ref="I65:J76" si="23">+C65+F65</f>
        <v>760</v>
      </c>
      <c r="J65" s="197">
        <f t="shared" si="23"/>
        <v>430</v>
      </c>
      <c r="K65" s="198">
        <f t="shared" ref="K65:K76" si="24">+I65-J65</f>
        <v>330</v>
      </c>
    </row>
    <row r="66" spans="1:11" ht="20.25" x14ac:dyDescent="0.25">
      <c r="A66" s="184">
        <f t="shared" ref="A66:A76" si="25">+A65+1</f>
        <v>3</v>
      </c>
      <c r="B66" s="185" t="s">
        <v>148</v>
      </c>
      <c r="C66" s="199">
        <v>437.5</v>
      </c>
      <c r="D66" s="197">
        <v>200</v>
      </c>
      <c r="E66" s="198">
        <f t="shared" si="21"/>
        <v>237.5</v>
      </c>
      <c r="F66" s="199">
        <v>437.5</v>
      </c>
      <c r="G66" s="197">
        <v>137.66999999999996</v>
      </c>
      <c r="H66" s="198">
        <f t="shared" si="22"/>
        <v>299.83000000000004</v>
      </c>
      <c r="I66" s="223">
        <f t="shared" si="23"/>
        <v>875</v>
      </c>
      <c r="J66" s="197">
        <f t="shared" si="23"/>
        <v>337.66999999999996</v>
      </c>
      <c r="K66" s="198">
        <f t="shared" si="24"/>
        <v>537.33000000000004</v>
      </c>
    </row>
    <row r="67" spans="1:11" ht="20.25" x14ac:dyDescent="0.25">
      <c r="A67" s="184">
        <f t="shared" si="25"/>
        <v>4</v>
      </c>
      <c r="B67" s="185" t="s">
        <v>149</v>
      </c>
      <c r="C67" s="199">
        <v>382.5</v>
      </c>
      <c r="D67" s="197">
        <v>375</v>
      </c>
      <c r="E67" s="198">
        <f t="shared" si="21"/>
        <v>7.5</v>
      </c>
      <c r="F67" s="199">
        <v>382.5</v>
      </c>
      <c r="G67" s="197">
        <v>375</v>
      </c>
      <c r="H67" s="198">
        <f t="shared" si="22"/>
        <v>7.5</v>
      </c>
      <c r="I67" s="223">
        <f t="shared" si="23"/>
        <v>765</v>
      </c>
      <c r="J67" s="197">
        <f t="shared" si="23"/>
        <v>750</v>
      </c>
      <c r="K67" s="198">
        <f t="shared" si="24"/>
        <v>15</v>
      </c>
    </row>
    <row r="68" spans="1:11" ht="20.25" x14ac:dyDescent="0.25">
      <c r="A68" s="184">
        <f t="shared" si="25"/>
        <v>5</v>
      </c>
      <c r="B68" s="185" t="s">
        <v>150</v>
      </c>
      <c r="C68" s="199">
        <v>318.5</v>
      </c>
      <c r="D68" s="197">
        <v>130</v>
      </c>
      <c r="E68" s="198">
        <f t="shared" si="21"/>
        <v>188.5</v>
      </c>
      <c r="F68" s="199">
        <v>318.5</v>
      </c>
      <c r="G68" s="197">
        <v>10</v>
      </c>
      <c r="H68" s="198">
        <f t="shared" si="22"/>
        <v>308.5</v>
      </c>
      <c r="I68" s="223">
        <f t="shared" si="23"/>
        <v>637</v>
      </c>
      <c r="J68" s="197">
        <f t="shared" si="23"/>
        <v>140</v>
      </c>
      <c r="K68" s="198">
        <f t="shared" si="24"/>
        <v>497</v>
      </c>
    </row>
    <row r="69" spans="1:11" ht="20.25" x14ac:dyDescent="0.25">
      <c r="A69" s="184">
        <f t="shared" si="25"/>
        <v>6</v>
      </c>
      <c r="B69" s="185" t="s">
        <v>151</v>
      </c>
      <c r="C69" s="199">
        <v>575</v>
      </c>
      <c r="D69" s="197">
        <f>300+33</f>
        <v>333</v>
      </c>
      <c r="E69" s="198">
        <f>+C69-D69</f>
        <v>242</v>
      </c>
      <c r="F69" s="199">
        <v>575</v>
      </c>
      <c r="G69" s="197">
        <f>300+34</f>
        <v>334</v>
      </c>
      <c r="H69" s="198">
        <f t="shared" si="22"/>
        <v>241</v>
      </c>
      <c r="I69" s="223">
        <f t="shared" si="23"/>
        <v>1150</v>
      </c>
      <c r="J69" s="197">
        <f t="shared" si="23"/>
        <v>667</v>
      </c>
      <c r="K69" s="198">
        <f t="shared" si="24"/>
        <v>483</v>
      </c>
    </row>
    <row r="70" spans="1:11" ht="20.25" x14ac:dyDescent="0.25">
      <c r="A70" s="184">
        <f t="shared" si="25"/>
        <v>7</v>
      </c>
      <c r="B70" s="185" t="s">
        <v>152</v>
      </c>
      <c r="C70" s="199">
        <v>396</v>
      </c>
      <c r="D70" s="197">
        <v>330</v>
      </c>
      <c r="E70" s="198">
        <f t="shared" si="21"/>
        <v>66</v>
      </c>
      <c r="F70" s="199">
        <v>396</v>
      </c>
      <c r="G70" s="197">
        <v>250</v>
      </c>
      <c r="H70" s="198">
        <f t="shared" si="22"/>
        <v>146</v>
      </c>
      <c r="I70" s="223">
        <f t="shared" si="23"/>
        <v>792</v>
      </c>
      <c r="J70" s="197">
        <f t="shared" si="23"/>
        <v>580</v>
      </c>
      <c r="K70" s="198">
        <f t="shared" si="24"/>
        <v>212</v>
      </c>
    </row>
    <row r="71" spans="1:11" ht="20.25" x14ac:dyDescent="0.25">
      <c r="A71" s="184">
        <f t="shared" si="25"/>
        <v>8</v>
      </c>
      <c r="B71" s="185" t="s">
        <v>167</v>
      </c>
      <c r="C71" s="199">
        <v>273.5</v>
      </c>
      <c r="D71" s="197">
        <v>100</v>
      </c>
      <c r="E71" s="198">
        <f t="shared" si="21"/>
        <v>173.5</v>
      </c>
      <c r="F71" s="199">
        <v>273.5</v>
      </c>
      <c r="G71" s="197">
        <v>100</v>
      </c>
      <c r="H71" s="198">
        <f t="shared" si="22"/>
        <v>173.5</v>
      </c>
      <c r="I71" s="223">
        <f t="shared" si="23"/>
        <v>547</v>
      </c>
      <c r="J71" s="197">
        <f t="shared" si="23"/>
        <v>200</v>
      </c>
      <c r="K71" s="198">
        <f t="shared" si="24"/>
        <v>347</v>
      </c>
    </row>
    <row r="72" spans="1:11" ht="20.25" x14ac:dyDescent="0.25">
      <c r="A72" s="184">
        <f t="shared" si="25"/>
        <v>9</v>
      </c>
      <c r="B72" s="185" t="s">
        <v>154</v>
      </c>
      <c r="C72" s="199">
        <v>272</v>
      </c>
      <c r="D72" s="197"/>
      <c r="E72" s="198">
        <f t="shared" si="21"/>
        <v>272</v>
      </c>
      <c r="F72" s="199">
        <v>272</v>
      </c>
      <c r="G72" s="197"/>
      <c r="H72" s="198">
        <f t="shared" si="22"/>
        <v>272</v>
      </c>
      <c r="I72" s="223">
        <f t="shared" si="23"/>
        <v>544</v>
      </c>
      <c r="J72" s="197">
        <f t="shared" si="23"/>
        <v>0</v>
      </c>
      <c r="K72" s="198">
        <f t="shared" si="24"/>
        <v>544</v>
      </c>
    </row>
    <row r="73" spans="1:11" ht="20.25" x14ac:dyDescent="0.25">
      <c r="A73" s="184">
        <f t="shared" si="25"/>
        <v>10</v>
      </c>
      <c r="B73" s="185" t="s">
        <v>15</v>
      </c>
      <c r="C73" s="199">
        <v>292</v>
      </c>
      <c r="D73" s="197">
        <v>200</v>
      </c>
      <c r="E73" s="198">
        <f t="shared" si="21"/>
        <v>92</v>
      </c>
      <c r="F73" s="199">
        <v>292</v>
      </c>
      <c r="G73" s="197">
        <v>100</v>
      </c>
      <c r="H73" s="198">
        <f t="shared" si="22"/>
        <v>192</v>
      </c>
      <c r="I73" s="223">
        <f t="shared" si="23"/>
        <v>584</v>
      </c>
      <c r="J73" s="197">
        <f t="shared" si="23"/>
        <v>300</v>
      </c>
      <c r="K73" s="198">
        <f t="shared" si="24"/>
        <v>284</v>
      </c>
    </row>
    <row r="74" spans="1:11" ht="20.25" x14ac:dyDescent="0.25">
      <c r="A74" s="184">
        <f t="shared" si="25"/>
        <v>11</v>
      </c>
      <c r="B74" s="185" t="s">
        <v>155</v>
      </c>
      <c r="C74" s="199">
        <v>400</v>
      </c>
      <c r="D74" s="197">
        <v>200</v>
      </c>
      <c r="E74" s="198">
        <f t="shared" si="21"/>
        <v>200</v>
      </c>
      <c r="F74" s="199">
        <v>400</v>
      </c>
      <c r="G74" s="197"/>
      <c r="H74" s="198">
        <f t="shared" si="22"/>
        <v>400</v>
      </c>
      <c r="I74" s="223">
        <f t="shared" si="23"/>
        <v>800</v>
      </c>
      <c r="J74" s="197">
        <f t="shared" si="23"/>
        <v>200</v>
      </c>
      <c r="K74" s="198">
        <f t="shared" si="24"/>
        <v>600</v>
      </c>
    </row>
    <row r="75" spans="1:11" ht="20.25" x14ac:dyDescent="0.25">
      <c r="A75" s="184">
        <f t="shared" si="25"/>
        <v>12</v>
      </c>
      <c r="B75" s="185" t="s">
        <v>156</v>
      </c>
      <c r="C75" s="199">
        <v>306.5</v>
      </c>
      <c r="D75" s="197">
        <f>103+59.7</f>
        <v>162.69999999999999</v>
      </c>
      <c r="E75" s="198">
        <f t="shared" si="21"/>
        <v>143.80000000000001</v>
      </c>
      <c r="F75" s="199">
        <v>306.5</v>
      </c>
      <c r="G75" s="197">
        <f>103+59.7</f>
        <v>162.69999999999999</v>
      </c>
      <c r="H75" s="198">
        <f t="shared" si="22"/>
        <v>143.80000000000001</v>
      </c>
      <c r="I75" s="223">
        <f t="shared" si="23"/>
        <v>613</v>
      </c>
      <c r="J75" s="197">
        <f t="shared" si="23"/>
        <v>325.39999999999998</v>
      </c>
      <c r="K75" s="198">
        <f t="shared" si="24"/>
        <v>287.60000000000002</v>
      </c>
    </row>
    <row r="76" spans="1:11" ht="21" thickBot="1" x14ac:dyDescent="0.3">
      <c r="A76" s="206">
        <f t="shared" si="25"/>
        <v>13</v>
      </c>
      <c r="B76" s="207" t="s">
        <v>18</v>
      </c>
      <c r="C76" s="211">
        <v>550</v>
      </c>
      <c r="D76" s="209">
        <v>350</v>
      </c>
      <c r="E76" s="210">
        <f t="shared" si="21"/>
        <v>200</v>
      </c>
      <c r="F76" s="211">
        <v>550</v>
      </c>
      <c r="G76" s="209">
        <v>286</v>
      </c>
      <c r="H76" s="210">
        <f t="shared" si="22"/>
        <v>264</v>
      </c>
      <c r="I76" s="224">
        <f t="shared" si="23"/>
        <v>1100</v>
      </c>
      <c r="J76" s="209">
        <f t="shared" si="23"/>
        <v>636</v>
      </c>
      <c r="K76" s="210">
        <f t="shared" si="24"/>
        <v>464</v>
      </c>
    </row>
    <row r="77" spans="1:11" ht="21" thickBot="1" x14ac:dyDescent="0.3">
      <c r="A77" s="212"/>
      <c r="B77" s="213" t="s">
        <v>163</v>
      </c>
      <c r="C77" s="217">
        <f>SUM(C64:C76)</f>
        <v>5163.5</v>
      </c>
      <c r="D77" s="215">
        <f t="shared" ref="D77:K77" si="26">SUM(D64:D76)</f>
        <v>2860.7</v>
      </c>
      <c r="E77" s="225">
        <f t="shared" si="26"/>
        <v>2302.8000000000002</v>
      </c>
      <c r="F77" s="217">
        <f t="shared" si="26"/>
        <v>5163.5</v>
      </c>
      <c r="G77" s="215">
        <f t="shared" si="26"/>
        <v>1805.3700000000001</v>
      </c>
      <c r="H77" s="225">
        <f t="shared" si="26"/>
        <v>3358.13</v>
      </c>
      <c r="I77" s="226">
        <f t="shared" si="26"/>
        <v>10327</v>
      </c>
      <c r="J77" s="215">
        <f t="shared" si="26"/>
        <v>4666.07</v>
      </c>
      <c r="K77" s="225">
        <f t="shared" si="26"/>
        <v>5660.93</v>
      </c>
    </row>
  </sheetData>
  <mergeCells count="22">
    <mergeCell ref="A1:K1"/>
    <mergeCell ref="A2:K2"/>
    <mergeCell ref="A4:A5"/>
    <mergeCell ref="B4:B5"/>
    <mergeCell ref="C4:E4"/>
    <mergeCell ref="F4:H4"/>
    <mergeCell ref="I4:K4"/>
    <mergeCell ref="A42:A43"/>
    <mergeCell ref="B42:B43"/>
    <mergeCell ref="C42:E42"/>
    <mergeCell ref="F42:H42"/>
    <mergeCell ref="I42:K42"/>
    <mergeCell ref="A23:A24"/>
    <mergeCell ref="B23:B24"/>
    <mergeCell ref="C23:E23"/>
    <mergeCell ref="F23:H23"/>
    <mergeCell ref="I23:K23"/>
    <mergeCell ref="A61:A62"/>
    <mergeCell ref="B61:B62"/>
    <mergeCell ref="C61:E61"/>
    <mergeCell ref="F61:H61"/>
    <mergeCell ref="I61:K61"/>
  </mergeCells>
  <printOptions horizontalCentered="1"/>
  <pageMargins left="0.39370078740157483" right="0.39370078740157483" top="0.39370078740157483" bottom="0.39370078740157483" header="0.39370078740157483" footer="0.39370078740157483"/>
  <pageSetup paperSize="9" scale="4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11</vt:i4>
      </vt:variant>
    </vt:vector>
  </HeadingPairs>
  <TitlesOfParts>
    <vt:vector size="28" baseType="lpstr">
      <vt:lpstr>Свод (2020-2023)</vt:lpstr>
      <vt:lpstr>2020 йил</vt:lpstr>
      <vt:lpstr>2021 йил</vt:lpstr>
      <vt:lpstr>2023 йил</vt:lpstr>
      <vt:lpstr>Аёллар оборотка</vt:lpstr>
      <vt:lpstr>2023 йил бюджет режа</vt:lpstr>
      <vt:lpstr>1-илова</vt:lpstr>
      <vt:lpstr>2-илова</vt:lpstr>
      <vt:lpstr>2021 йил бюджет режа</vt:lpstr>
      <vt:lpstr>2022 йил бюджет режа</vt:lpstr>
      <vt:lpstr>2020</vt:lpstr>
      <vt:lpstr>2022 йил</vt:lpstr>
      <vt:lpstr>Ёшлар</vt:lpstr>
      <vt:lpstr>Аёллар</vt:lpstr>
      <vt:lpstr>Даромадлари</vt:lpstr>
      <vt:lpstr>Харажатлар</vt:lpstr>
      <vt:lpstr>ПФ-6118</vt:lpstr>
      <vt:lpstr>'1-илова'!Область_печати</vt:lpstr>
      <vt:lpstr>'2020 йил'!Область_печати</vt:lpstr>
      <vt:lpstr>'2021 йил'!Область_печати</vt:lpstr>
      <vt:lpstr>'2022 йил'!Область_печати</vt:lpstr>
      <vt:lpstr>'2023 йил'!Область_печати</vt:lpstr>
      <vt:lpstr>'2023 йил бюджет режа'!Область_печати</vt:lpstr>
      <vt:lpstr>'2-илова'!Область_печати</vt:lpstr>
      <vt:lpstr>Даромадлари!Область_печати</vt:lpstr>
      <vt:lpstr>'ПФ-6118'!Область_печати</vt:lpstr>
      <vt:lpstr>'Свод (2020-2023)'!Область_печати</vt:lpstr>
      <vt:lpstr>Харажатлар!Область_печати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2023-12-30T10:48:41Z</dcterms:modified>
</cp:coreProperties>
</file>